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V:\01 Studiengangleitung\Studienablauf\Beurteilungsbogen Studienarbeiten\"/>
    </mc:Choice>
  </mc:AlternateContent>
  <workbookProtection workbookAlgorithmName="SHA-512" workbookHashValue="typRTmA5kS8OY5r78t1u8wfC6AY+hRyMxDT0WZWAmprZgzZ1yXO8Oi0Udh0sC1U/GMkmLrrHT01kJLNmQOD3fQ==" workbookSaltValue="RsBIL8f+6/iTQIV8zsSIng==" workbookSpinCount="100000" lockStructure="1"/>
  <bookViews>
    <workbookView xWindow="13956" yWindow="-12" windowWidth="13992" windowHeight="12480" autoFilterDateGrouping="0"/>
  </bookViews>
  <sheets>
    <sheet name="Beurteilung" sheetId="1" r:id="rId1"/>
    <sheet name="Texte und Punkte" sheetId="5" state="hidden" r:id="rId2"/>
    <sheet name="Daten und Berechnung" sheetId="3" state="hidden" r:id="rId3"/>
    <sheet name="Versionshistorie" sheetId="6" state="hidden" r:id="rId4"/>
  </sheets>
  <definedNames>
    <definedName name="Abstufung">'Daten und Berechnung'!$H$3:$H$5</definedName>
    <definedName name="Anz_Krit">'Daten und Berechnung'!$K$6</definedName>
    <definedName name="Berechnung">'Daten und Berechnung'!$1:$1048576</definedName>
    <definedName name="Beurteilung">Beurteilung!$1:$1048576</definedName>
    <definedName name="Bewertungskriterium" localSheetId="1">'Texte und Punkte'!$B$2</definedName>
    <definedName name="Bewertungstyp">'Daten und Berechnung'!$K$12</definedName>
    <definedName name="Copy">Beurteilung!$B$41</definedName>
    <definedName name="Dateidatum">Versionshistorie!$B$5</definedName>
    <definedName name="Dateiname">'Daten und Berechnung'!$K$3</definedName>
    <definedName name="Dateiversion">'Daten und Berechnung'!$K$14</definedName>
    <definedName name="Daten" localSheetId="1">'Texte und Punkte'!$1:$1048576</definedName>
    <definedName name="_xlnm.Print_Area" localSheetId="0">Beurteilung!$B$2:$L$41</definedName>
    <definedName name="_xlnm.Print_Area" localSheetId="1">'Texte und Punkte'!$B$2:$S$35</definedName>
    <definedName name="Endnote_Gutachten">'Daten und Berechnung'!$C$14</definedName>
    <definedName name="Endzeile">'Daten und Berechnung'!$K$9</definedName>
    <definedName name="Gutachter">Beurteilung!$D$10</definedName>
    <definedName name="Korr">'Daten und Berechnung'!$C$11</definedName>
    <definedName name="Korr_Dezimal">'Daten und Berechnung'!$O$11</definedName>
    <definedName name="Korr_m1">'Daten und Berechnung'!$O$13</definedName>
    <definedName name="Korr_p1">'Daten und Berechnung'!$O$14</definedName>
    <definedName name="Korr0">'Daten und Berechnung'!$O$12</definedName>
    <definedName name="Korrektursymbole">'Daten und Berechnung'!$N$12:$N$14</definedName>
    <definedName name="Kriterien">Beurteilung!$C$19</definedName>
    <definedName name="Kriterien_Ende">'Texte und Punkte'!$B$35</definedName>
    <definedName name="Kriterium1">'Texte und Punkte'!$B$5</definedName>
    <definedName name="Kriterium2">'Texte und Punkte'!$B$10</definedName>
    <definedName name="Kriterium3">'Texte und Punkte'!$B$15</definedName>
    <definedName name="Kriterium4">'Texte und Punkte'!$B$20</definedName>
    <definedName name="Kriterium5">'Texte und Punkte'!$B$25</definedName>
    <definedName name="Kriterium6">'Texte und Punkte'!$B$30</definedName>
    <definedName name="Kurs">Beurteilung!$G$6</definedName>
    <definedName name="Liste_035">'Daten und Berechnung'!$O$4:$O$8</definedName>
    <definedName name="Liste_Arbeitstypen">'Daten und Berechnung'!$N$4:$N$8</definedName>
    <definedName name="Liste_Notengrenzen">'Daten und Berechnung'!$E$3:$F$14</definedName>
    <definedName name="Matrikel">Beurteilung!$G$8</definedName>
    <definedName name="Max_Notenzeilen">'Daten und Berechnung'!$K$11</definedName>
    <definedName name="Name">Beurteilung!$D$6</definedName>
    <definedName name="Notenformel">'Daten und Berechnung'!$C$10</definedName>
    <definedName name="Notenformel_037">'Daten und Berechnung'!$C$9</definedName>
    <definedName name="Notenformel_Dezimal">'Daten und Berechnung'!$C$8</definedName>
    <definedName name="Notenkorrektur">Beurteilung!$K$10</definedName>
    <definedName name="Notenliste">'Daten und Berechnung'!$F$3:$F$14</definedName>
    <definedName name="Notenvorschlag">'Daten und Berechnung'!$C$10</definedName>
    <definedName name="Notenzeile">'Daten und Berechnung'!$K$10</definedName>
    <definedName name="P_akt">'Daten und Berechnung'!$C$6</definedName>
    <definedName name="P_Krit">'Daten und Berechnung'!$K$13</definedName>
    <definedName name="P_max">'Daten und Berechnung'!$K$7</definedName>
    <definedName name="P_proz">'Daten und Berechnung'!$C$7</definedName>
    <definedName name="P_Summe">'Texte und Punkte'!$C$35</definedName>
    <definedName name="Sp_Wichtung">Beurteilung!$J$17</definedName>
    <definedName name="Stufe_1">'Daten und Berechnung'!$H$3</definedName>
    <definedName name="Stufe_2">'Daten und Berechnung'!$H$4</definedName>
    <definedName name="Stufe_3">'Daten und Berechnung'!$H$5</definedName>
    <definedName name="Tab_Bewertungstyp">'Daten und Berechnung'!$N$2</definedName>
    <definedName name="Tab_Notengrenzen">'Daten und Berechnung'!$E$2</definedName>
    <definedName name="Tab_Notenkorrektur">'Daten und Berechnung'!$N$10</definedName>
    <definedName name="Titel">Beurteilung!$D$14</definedName>
    <definedName name="Typ_der_Arbeit">Beurteilung!$G$10</definedName>
    <definedName name="Typnummer_Arbeit">'Daten und Berechnung'!$K$8</definedName>
    <definedName name="Untergrenze">'Daten und Berechnung'!#REF!,'Daten und Berechnung'!$E$5,'Daten und Berechnung'!$E$7,'Daten und Berechnung'!$E$10,'Daten und Berechnung'!$E$14</definedName>
    <definedName name="Vorname">Beurteilung!$D$8</definedName>
    <definedName name="Z_F624DE42_7366_4D05_A22F_FFE42B7DDA87_.wvu.PrintArea" localSheetId="0" hidden="1">Beurteilung!$B$2:$S$41</definedName>
  </definedNames>
  <calcPr calcId="162913"/>
  <customWorkbookViews>
    <customWorkbookView name="Normalansicht" guid="{F624DE42-7366-4D05-A22F-FFE42B7DDA87}" maximized="1" windowWidth="1828" windowHeight="1062" activeSheetId="1"/>
  </customWorkbookViews>
</workbook>
</file>

<file path=xl/calcChain.xml><?xml version="1.0" encoding="utf-8"?>
<calcChain xmlns="http://schemas.openxmlformats.org/spreadsheetml/2006/main">
  <c r="K4" i="3" l="1"/>
  <c r="K11" i="3" l="1"/>
  <c r="K5" i="3" l="1"/>
  <c r="G8" i="6" s="1"/>
  <c r="C11" i="3" l="1"/>
  <c r="K8" i="3"/>
  <c r="S3" i="5"/>
  <c r="O4" i="5"/>
  <c r="Q3" i="5"/>
  <c r="R3" i="5"/>
  <c r="P3" i="5"/>
  <c r="O3" i="5"/>
  <c r="E37" i="1" l="1"/>
  <c r="K12" i="3"/>
  <c r="J12" i="1" s="1"/>
  <c r="L8" i="3"/>
  <c r="F6" i="5"/>
  <c r="F7" i="5"/>
  <c r="F8" i="5"/>
  <c r="F9" i="5"/>
  <c r="F10" i="5"/>
  <c r="E10" i="5" s="1"/>
  <c r="F11" i="5"/>
  <c r="F12" i="5"/>
  <c r="F13" i="5"/>
  <c r="F14" i="5"/>
  <c r="F15" i="5"/>
  <c r="F16" i="5"/>
  <c r="F17" i="5"/>
  <c r="F18" i="5"/>
  <c r="F19" i="5"/>
  <c r="F20" i="5"/>
  <c r="E20" i="5" s="1"/>
  <c r="F21" i="5"/>
  <c r="F22" i="5"/>
  <c r="F23" i="5"/>
  <c r="F24" i="5"/>
  <c r="F25" i="5"/>
  <c r="F26" i="5"/>
  <c r="F27" i="5"/>
  <c r="F28" i="5"/>
  <c r="F29" i="5"/>
  <c r="F30" i="5"/>
  <c r="E30" i="5" s="1"/>
  <c r="F31" i="5"/>
  <c r="F32" i="5"/>
  <c r="F33" i="5"/>
  <c r="F34" i="5"/>
  <c r="F5" i="5"/>
  <c r="E5" i="5" l="1"/>
  <c r="E15" i="5"/>
  <c r="E25" i="5"/>
  <c r="E12" i="3" l="1"/>
  <c r="E11" i="3"/>
  <c r="E10" i="3"/>
  <c r="E8" i="3"/>
  <c r="E7" i="3"/>
  <c r="E6" i="3"/>
  <c r="G30" i="5" l="1"/>
  <c r="G25" i="5"/>
  <c r="G20" i="5"/>
  <c r="G15" i="5"/>
  <c r="G10" i="5"/>
  <c r="G5" i="5"/>
  <c r="J32" i="5" l="1"/>
  <c r="J27" i="5"/>
  <c r="J22" i="5"/>
  <c r="J17" i="5"/>
  <c r="J12" i="5"/>
  <c r="J7" i="5"/>
  <c r="J8" i="5"/>
  <c r="J9" i="5"/>
  <c r="J6" i="5"/>
  <c r="K9" i="3" l="1"/>
  <c r="K3" i="3"/>
  <c r="C41" i="1" s="1"/>
  <c r="F19" i="1" l="1"/>
  <c r="F25" i="1"/>
  <c r="F22" i="1"/>
  <c r="F34" i="1"/>
  <c r="F31" i="1"/>
  <c r="F28" i="1"/>
  <c r="M8" i="5"/>
  <c r="M9" i="5"/>
  <c r="J10" i="5"/>
  <c r="J11" i="5"/>
  <c r="M11" i="5" s="1"/>
  <c r="J13" i="5"/>
  <c r="M13" i="5" s="1"/>
  <c r="J14" i="5"/>
  <c r="M14" i="5" s="1"/>
  <c r="J15" i="5"/>
  <c r="J16" i="5"/>
  <c r="M16" i="5" s="1"/>
  <c r="J18" i="5"/>
  <c r="M18" i="5" s="1"/>
  <c r="J19" i="5"/>
  <c r="M19" i="5" s="1"/>
  <c r="J20" i="5"/>
  <c r="J21" i="5"/>
  <c r="M21" i="5" s="1"/>
  <c r="J23" i="5"/>
  <c r="M23" i="5" s="1"/>
  <c r="J24" i="5"/>
  <c r="M24" i="5" s="1"/>
  <c r="J25" i="5"/>
  <c r="J26" i="5"/>
  <c r="M26" i="5" s="1"/>
  <c r="J28" i="5"/>
  <c r="M28" i="5" s="1"/>
  <c r="J29" i="5"/>
  <c r="M29" i="5" s="1"/>
  <c r="J30" i="5"/>
  <c r="K30" i="5" s="1"/>
  <c r="J31" i="5"/>
  <c r="M31" i="5" s="1"/>
  <c r="J33" i="5"/>
  <c r="M33" i="5" s="1"/>
  <c r="J34" i="5"/>
  <c r="M34" i="5" s="1"/>
  <c r="J5" i="5"/>
  <c r="K5" i="5" s="1"/>
  <c r="K10" i="5" l="1"/>
  <c r="K11" i="5" s="1"/>
  <c r="K14" i="5" s="1"/>
  <c r="K6" i="3"/>
  <c r="K7" i="3" s="1"/>
  <c r="K6" i="5"/>
  <c r="K31" i="5"/>
  <c r="M20" i="5"/>
  <c r="N20" i="5" s="1"/>
  <c r="M6" i="5"/>
  <c r="K25" i="5"/>
  <c r="K26" i="5" s="1"/>
  <c r="K20" i="5"/>
  <c r="K21" i="5" s="1"/>
  <c r="K15" i="5"/>
  <c r="K16" i="5" s="1"/>
  <c r="M25" i="5"/>
  <c r="N25" i="5" s="1"/>
  <c r="M5" i="5"/>
  <c r="N5" i="5" s="1"/>
  <c r="M30" i="5"/>
  <c r="N30" i="5" s="1"/>
  <c r="M10" i="5"/>
  <c r="N10" i="5" s="1"/>
  <c r="M15" i="5"/>
  <c r="N15" i="5" s="1"/>
  <c r="D30" i="5" l="1"/>
  <c r="C30" i="5" s="1"/>
  <c r="D25" i="5"/>
  <c r="C25" i="5" s="1"/>
  <c r="D20" i="5"/>
  <c r="C20" i="5" s="1"/>
  <c r="D15" i="5"/>
  <c r="C15" i="5" s="1"/>
  <c r="D10" i="5"/>
  <c r="C10" i="5" s="1"/>
  <c r="C34" i="1"/>
  <c r="C31" i="1"/>
  <c r="C28" i="1"/>
  <c r="C25" i="1"/>
  <c r="C22" i="1"/>
  <c r="D5" i="5"/>
  <c r="C5" i="5" l="1"/>
  <c r="L15" i="5"/>
  <c r="L16" i="5" s="1"/>
  <c r="L20" i="5"/>
  <c r="L21" i="5" s="1"/>
  <c r="L10" i="5"/>
  <c r="L11" i="5" s="1"/>
  <c r="L5" i="5"/>
  <c r="L6" i="5" s="1"/>
  <c r="L30" i="5"/>
  <c r="L31" i="5" s="1"/>
  <c r="L32" i="5" s="1"/>
  <c r="L33" i="5" s="1"/>
  <c r="L34" i="5" s="1"/>
  <c r="L25" i="5"/>
  <c r="L26" i="5" s="1"/>
  <c r="C19" i="1"/>
  <c r="C35" i="5" l="1"/>
  <c r="C4" i="3" s="1"/>
  <c r="L8" i="5"/>
  <c r="L9" i="5" s="1"/>
  <c r="L7" i="5"/>
  <c r="L13" i="5"/>
  <c r="L14" i="5" s="1"/>
  <c r="L12" i="5"/>
  <c r="L18" i="5"/>
  <c r="L19" i="5" s="1"/>
  <c r="L17" i="5"/>
  <c r="L28" i="5"/>
  <c r="L29" i="5" s="1"/>
  <c r="L27" i="5"/>
  <c r="L23" i="5"/>
  <c r="L24" i="5" s="1"/>
  <c r="L22" i="5"/>
  <c r="C3" i="3"/>
  <c r="C8" i="3" l="1"/>
  <c r="C5" i="3"/>
  <c r="C6" i="3"/>
  <c r="C7" i="3" l="1"/>
  <c r="K6" i="1" s="1"/>
  <c r="C9" i="3" l="1"/>
  <c r="K10" i="3" l="1"/>
  <c r="C13" i="3" s="1"/>
  <c r="C10" i="3"/>
  <c r="C12" i="3" s="1"/>
  <c r="C14" i="3" l="1"/>
  <c r="K8" i="1"/>
  <c r="J13" i="1" l="1"/>
</calcChain>
</file>

<file path=xl/comments1.xml><?xml version="1.0" encoding="utf-8"?>
<comments xmlns="http://schemas.openxmlformats.org/spreadsheetml/2006/main">
  <authors>
    <author>Jens Franeck</author>
  </authors>
  <commentList>
    <comment ref="J6" authorId="0" shapeId="0">
      <text>
        <r>
          <rPr>
            <sz val="11"/>
            <color indexed="81"/>
            <rFont val="Tahoma"/>
            <family val="2"/>
          </rPr>
          <t>Erreichter Prozentwert aller Antworten</t>
        </r>
      </text>
    </comment>
    <comment ref="J8" authorId="0" shapeId="0">
      <text>
        <r>
          <rPr>
            <sz val="11"/>
            <color indexed="81"/>
            <rFont val="Tahoma"/>
            <family val="2"/>
          </rPr>
          <t xml:space="preserve">Note aus Prozentwert gemäß Notenformel </t>
        </r>
      </text>
    </comment>
    <comment ref="F10" authorId="0" shapeId="0">
      <text>
        <r>
          <rPr>
            <sz val="11"/>
            <color indexed="81"/>
            <rFont val="Tahoma"/>
            <family val="2"/>
          </rPr>
          <t>Bitte wählen Sie den Typ der Arbeit
aus der Liste aus. Entsprechend dieser
Auswahl werden wird die Wichtung der
einzelnen Kriterien angepasst.</t>
        </r>
      </text>
    </comment>
    <comment ref="J10" authorId="0" shapeId="0">
      <text>
        <r>
          <rPr>
            <sz val="11"/>
            <color indexed="81"/>
            <rFont val="Tahoma"/>
            <family val="2"/>
          </rPr>
          <t>Hier kann die als Vorschlag ermittelte
Note noch um eine Stufe verbessert (↘) oder verschlechtert (↗) werden.
(Abstufung: Je nach Bewertungsart ist eine Änderung um +/-0,3 oder zwischen den Zahlen 0, 3 oder 7 als erste Kommastelle möglich.)
Wenn hier korrigiert wird, dann geben Sie bitte unten in den Anmerkungen eine kurze Begründung dafür an.</t>
        </r>
      </text>
    </comment>
    <comment ref="C17" authorId="0" shapeId="0">
      <text>
        <r>
          <rPr>
            <sz val="11"/>
            <color indexed="81"/>
            <rFont val="Tahoma"/>
            <family val="2"/>
          </rPr>
          <t xml:space="preserve">Wählen Sie als Erstes aus der Dropdownliste eine Leistungsstufe anhand der Bewertungstexte aus.
Klicken Sie dazu auf die unten stehenden Felder und dann auf das am rechten unteren Feldrand erscheinende Dropdown-Symbol [˅]. </t>
        </r>
      </text>
    </comment>
    <comment ref="F17" authorId="0" shapeId="0">
      <text>
        <r>
          <rPr>
            <sz val="11"/>
            <color indexed="81"/>
            <rFont val="Tahoma"/>
            <family val="2"/>
          </rPr>
          <t>Anteil dieses Kriteriums
am Gesamtergebnis</t>
        </r>
      </text>
    </comment>
    <comment ref="J17" authorId="0" shapeId="0">
      <text>
        <r>
          <rPr>
            <sz val="11"/>
            <color indexed="81"/>
            <rFont val="Tahoma"/>
            <family val="2"/>
          </rPr>
          <t xml:space="preserve">Klicken Sie auf die weißen Felder und dann auf das erscheinende Dropdown-Symbol </t>
        </r>
        <r>
          <rPr>
            <sz val="9"/>
            <color indexed="81"/>
            <rFont val="Tahoma"/>
            <family val="2"/>
          </rPr>
          <t>[˅]</t>
        </r>
        <r>
          <rPr>
            <sz val="11"/>
            <color indexed="81"/>
            <rFont val="Tahoma"/>
            <family val="2"/>
          </rPr>
          <t xml:space="preserve"> am unteren rechten Feldrand, um zwischen den Ausprägungsstufen
  • teilweise zutreffend,
  • überwiegend zutreffend und
  • vollkommen zutreffend
auszuwählen.</t>
        </r>
      </text>
    </comment>
  </commentList>
</comments>
</file>

<file path=xl/comments2.xml><?xml version="1.0" encoding="utf-8"?>
<comments xmlns="http://schemas.openxmlformats.org/spreadsheetml/2006/main">
  <authors>
    <author>Jens Franeck</author>
  </authors>
  <commentList>
    <comment ref="C2" authorId="0" shapeId="0">
      <text>
        <r>
          <rPr>
            <b/>
            <sz val="9"/>
            <color indexed="81"/>
            <rFont val="Tahoma"/>
            <family val="2"/>
          </rPr>
          <t>Wichtungsformel:</t>
        </r>
        <r>
          <rPr>
            <sz val="9"/>
            <color indexed="81"/>
            <rFont val="Tahoma"/>
            <family val="2"/>
          </rPr>
          <t xml:space="preserve">
          P</t>
        </r>
        <r>
          <rPr>
            <vertAlign val="subscript"/>
            <sz val="9"/>
            <color indexed="81"/>
            <rFont val="Tahoma"/>
            <family val="2"/>
          </rPr>
          <t>akt</t>
        </r>
        <r>
          <rPr>
            <sz val="9"/>
            <color indexed="81"/>
            <rFont val="Tahoma"/>
            <family val="2"/>
          </rPr>
          <t xml:space="preserve">
P</t>
        </r>
        <r>
          <rPr>
            <vertAlign val="subscript"/>
            <sz val="9"/>
            <color indexed="81"/>
            <rFont val="Tahoma"/>
            <family val="2"/>
          </rPr>
          <t>wich</t>
        </r>
        <r>
          <rPr>
            <sz val="9"/>
            <color indexed="81"/>
            <rFont val="Tahoma"/>
            <family val="2"/>
          </rPr>
          <t xml:space="preserve"> = --- * W * P</t>
        </r>
        <r>
          <rPr>
            <vertAlign val="subscript"/>
            <sz val="9"/>
            <color indexed="81"/>
            <rFont val="Tahoma"/>
            <family val="2"/>
          </rPr>
          <t>max</t>
        </r>
        <r>
          <rPr>
            <sz val="9"/>
            <color indexed="81"/>
            <rFont val="Tahoma"/>
            <family val="2"/>
          </rPr>
          <t xml:space="preserve">
          P</t>
        </r>
        <r>
          <rPr>
            <vertAlign val="subscript"/>
            <sz val="9"/>
            <color indexed="81"/>
            <rFont val="Tahoma"/>
            <family val="2"/>
          </rPr>
          <t xml:space="preserve">krit
</t>
        </r>
        <r>
          <rPr>
            <sz val="9"/>
            <color indexed="81"/>
            <rFont val="Tahoma"/>
            <family val="2"/>
          </rPr>
          <t>P</t>
        </r>
        <r>
          <rPr>
            <vertAlign val="subscript"/>
            <sz val="9"/>
            <color indexed="81"/>
            <rFont val="Tahoma"/>
            <family val="2"/>
          </rPr>
          <t>akt</t>
        </r>
        <r>
          <rPr>
            <sz val="9"/>
            <color indexed="81"/>
            <rFont val="Tahoma"/>
            <family val="2"/>
          </rPr>
          <t xml:space="preserve">   … aktuelle Punktzahl dieses Kriteriums
P</t>
        </r>
        <r>
          <rPr>
            <vertAlign val="subscript"/>
            <sz val="9"/>
            <color indexed="81"/>
            <rFont val="Tahoma"/>
            <family val="2"/>
          </rPr>
          <t>krit</t>
        </r>
        <r>
          <rPr>
            <sz val="9"/>
            <color indexed="81"/>
            <rFont val="Tahoma"/>
            <family val="2"/>
          </rPr>
          <t xml:space="preserve">   … max. mögliche Punktzahl dieses Kriteriums
W     … Wichtung in %
P</t>
        </r>
        <r>
          <rPr>
            <vertAlign val="subscript"/>
            <sz val="9"/>
            <color indexed="81"/>
            <rFont val="Tahoma"/>
            <family val="2"/>
          </rPr>
          <t>max</t>
        </r>
        <r>
          <rPr>
            <sz val="9"/>
            <color indexed="81"/>
            <rFont val="Tahoma"/>
            <family val="2"/>
          </rPr>
          <t xml:space="preserve">  … Max. erreichbare Gesamtpunktzahl</t>
        </r>
      </text>
    </comment>
    <comment ref="H2" authorId="0" shapeId="0">
      <text>
        <r>
          <rPr>
            <sz val="9"/>
            <color indexed="81"/>
            <rFont val="Tahoma"/>
            <family val="2"/>
          </rPr>
          <t xml:space="preserve">Die Einschätzungstexte </t>
        </r>
        <r>
          <rPr>
            <b/>
            <u/>
            <sz val="9"/>
            <color indexed="81"/>
            <rFont val="Tahoma"/>
            <family val="2"/>
          </rPr>
          <t>MÜSSEN</t>
        </r>
        <r>
          <rPr>
            <sz val="9"/>
            <color indexed="81"/>
            <rFont val="Tahoma"/>
            <family val="2"/>
          </rPr>
          <t xml:space="preserve"> mit a)..e) beginnen, 
ansonsten funktioniert der Algorithmus nicht...</t>
        </r>
      </text>
    </comment>
    <comment ref="I2" authorId="0" shapeId="0">
      <text>
        <r>
          <rPr>
            <sz val="9"/>
            <color indexed="81"/>
            <rFont val="Tahoma"/>
            <family val="2"/>
          </rPr>
          <t>Verfeinerungsstufen je Kriteriumszeile
--&gt; wird nicht mehr geändert, bleibt immer bei 3</t>
        </r>
      </text>
    </comment>
    <comment ref="J2" authorId="0" shapeId="0">
      <text>
        <r>
          <rPr>
            <sz val="9"/>
            <color indexed="81"/>
            <rFont val="Tahoma"/>
            <family val="2"/>
          </rPr>
          <t>… kennzeichnet den Beginn eines neuen Kriteriums 
… ist notwendig für Anzahl der Auswahlzeilen und einige Formatierungen …</t>
        </r>
      </text>
    </comment>
    <comment ref="K2" authorId="0" shapeId="0">
      <text>
        <r>
          <rPr>
            <sz val="9"/>
            <color indexed="81"/>
            <rFont val="Tahoma"/>
            <family val="2"/>
          </rPr>
          <t>… Zeile ist notwendig zur Hervorhebung der aktuellen
Auswahl mittels bedingter Formatierung</t>
        </r>
      </text>
    </comment>
    <comment ref="L2" authorId="0" shapeId="0">
      <text>
        <r>
          <rPr>
            <sz val="9"/>
            <color indexed="81"/>
            <rFont val="Tahoma"/>
            <family val="2"/>
          </rPr>
          <t>… Zeile ist notwendig zur Hervorhebung der aktuellen
Auswahl mittels bedingter Formatierung</t>
        </r>
      </text>
    </comment>
    <comment ref="M2" authorId="0" shapeId="0">
      <text>
        <r>
          <rPr>
            <sz val="9"/>
            <color indexed="81"/>
            <rFont val="Tahoma"/>
            <family val="2"/>
          </rPr>
          <t>Angabe der Auswahlzeilen dieses Bewertungskriteriums?</t>
        </r>
      </text>
    </comment>
    <comment ref="N2" authorId="0" shapeId="0">
      <text>
        <r>
          <rPr>
            <sz val="9"/>
            <color indexed="81"/>
            <rFont val="Tahoma"/>
            <family val="2"/>
          </rPr>
          <t>das ist der Quotient 
   Max. Punkte je Kriterium
= --------------------------------
   Max. Teiler * Zeilen</t>
        </r>
      </text>
    </comment>
  </commentList>
</comments>
</file>

<file path=xl/comments3.xml><?xml version="1.0" encoding="utf-8"?>
<comments xmlns="http://schemas.openxmlformats.org/spreadsheetml/2006/main">
  <authors>
    <author>Jens Franeck</author>
  </authors>
  <commentList>
    <comment ref="B3" authorId="0" shapeId="0">
      <text>
        <r>
          <rPr>
            <sz val="9"/>
            <color indexed="81"/>
            <rFont val="Tahoma"/>
            <family val="2"/>
          </rPr>
          <t>… ergibt sich als Summe über alle Kriterien und 
das Produkt von Stufenanzahl*(maximale Punkte/Stufe)</t>
        </r>
      </text>
    </comment>
    <comment ref="O3" authorId="0" shapeId="0">
      <text>
        <r>
          <rPr>
            <sz val="9"/>
            <color indexed="81"/>
            <rFont val="Tahoma"/>
            <family val="2"/>
          </rPr>
          <t xml:space="preserve">     1 .. Die Arbeit wird im 0-3-7-System bewertet
&lt;&gt;1 .. Die Arbeit wird im Dezimalsystem bewertet</t>
        </r>
      </text>
    </comment>
    <comment ref="B4" authorId="0" shapeId="0">
      <text>
        <r>
          <rPr>
            <sz val="9"/>
            <color indexed="81"/>
            <rFont val="Tahoma"/>
            <family val="2"/>
          </rPr>
          <t>… ergibt sich als Summe über alle Kriterien und 
das Produkt von (erreichte Stufe)*(Punkte/Stufe)</t>
        </r>
      </text>
    </comment>
    <comment ref="B5" authorId="0" shapeId="0">
      <text>
        <r>
          <rPr>
            <sz val="9"/>
            <color indexed="81"/>
            <rFont val="Tahoma"/>
            <family val="2"/>
          </rPr>
          <t>… Prozentsatz der erreichten Punkte an der maximal möglichen Punktzahl</t>
        </r>
      </text>
    </comment>
    <comment ref="B6" authorId="0" shapeId="0">
      <text>
        <r>
          <rPr>
            <sz val="9"/>
            <color indexed="81"/>
            <rFont val="Tahoma"/>
            <family val="2"/>
          </rPr>
          <t>… erreichte Punkte auf halbe Punkte aufrunden</t>
        </r>
      </text>
    </comment>
    <comment ref="B7" authorId="0" shapeId="0">
      <text>
        <r>
          <rPr>
            <sz val="9"/>
            <color indexed="81"/>
            <rFont val="Tahoma"/>
            <family val="2"/>
          </rPr>
          <t>… Prozentsatz der erreichten Punkte an der maximal möglichen Punktzahl
(aufgerundet auf 0.5 Punkte)</t>
        </r>
      </text>
    </comment>
    <comment ref="J7" authorId="0" shapeId="0">
      <text>
        <r>
          <rPr>
            <sz val="9"/>
            <color indexed="81"/>
            <rFont val="Tahoma"/>
            <family val="2"/>
          </rPr>
          <t>Maximale Punktzahl, die im Register "Beurteilung" angezeigt wird. Dient nur
zur Skalierung der Ergebnisse. Auf die
berechnete Endnote hat sie keinen Einfluss.</t>
        </r>
      </text>
    </comment>
    <comment ref="B8" authorId="0" shapeId="0">
      <text>
        <r>
          <rPr>
            <sz val="9"/>
            <color indexed="81"/>
            <rFont val="Tahoma"/>
            <family val="2"/>
          </rPr>
          <t xml:space="preserve">… </t>
        </r>
        <r>
          <rPr>
            <b/>
            <sz val="9"/>
            <color indexed="81"/>
            <rFont val="Tahoma"/>
            <family val="2"/>
          </rPr>
          <t>gerundete</t>
        </r>
        <r>
          <rPr>
            <sz val="9"/>
            <color indexed="81"/>
            <rFont val="Tahoma"/>
            <family val="2"/>
          </rPr>
          <t xml:space="preserve"> Notenformel
N = 7-6*Pakt / Pmax
zur Berechnung von Zehntelnoten
Wert wird auf eine Dezimalstelle 
abgerundet!</t>
        </r>
      </text>
    </comment>
    <comment ref="J8" authorId="0" shapeId="0">
      <text>
        <r>
          <rPr>
            <sz val="9"/>
            <color indexed="81"/>
            <rFont val="Tahoma"/>
            <family val="2"/>
          </rPr>
          <t>Diese Auswahl ist wichtig für die Wichtung
der Einzelkriterien. Die aktuell geltenden
Werte werden in der Tabelle rechts gelb
hervorgehoben.</t>
        </r>
      </text>
    </comment>
    <comment ref="B9" authorId="0" shapeId="0">
      <text>
        <r>
          <rPr>
            <sz val="9"/>
            <color indexed="81"/>
            <rFont val="Tahoma"/>
            <family val="2"/>
          </rPr>
          <t>Note gemäß 0-3-7-Notenformel</t>
        </r>
      </text>
    </comment>
    <comment ref="B10" authorId="0" shapeId="0">
      <text>
        <r>
          <rPr>
            <sz val="9"/>
            <color indexed="81"/>
            <rFont val="Tahoma"/>
            <family val="2"/>
          </rPr>
          <t>- Noten gerundet
- Auswahl nach Bewertungstyp
  (Dezimal oder 0-3-7)
- Grenzwerte eingearbeitet
   1 ≤ Note ≤ 5</t>
        </r>
      </text>
    </comment>
    <comment ref="J10" authorId="0" shapeId="0">
      <text>
        <r>
          <rPr>
            <sz val="9"/>
            <color indexed="81"/>
            <rFont val="Tahoma"/>
            <family val="2"/>
          </rPr>
          <t>… nur ein Zeilenindex, um die Gutachter-
    Korrektur der Note zu vereinfachen...</t>
        </r>
      </text>
    </comment>
    <comment ref="B11" authorId="0" shapeId="0">
      <text>
        <r>
          <rPr>
            <sz val="9"/>
            <color indexed="81"/>
            <rFont val="Tahoma"/>
            <family val="2"/>
          </rPr>
          <t>Der Gutachter kann die Note noch um einen
vorgegebenen Wert nach oben (schlechter) 
oder unten (besser) verändern.</t>
        </r>
      </text>
    </comment>
    <comment ref="N11" authorId="0" shapeId="0">
      <text>
        <r>
          <rPr>
            <sz val="9"/>
            <color indexed="81"/>
            <rFont val="Tahoma"/>
            <family val="2"/>
          </rPr>
          <t>Gibt an, um welchen Betrag der Gutachter die
Dezimalnote nach oben oder unten ändern kann. [0,3]</t>
        </r>
      </text>
    </comment>
    <comment ref="J12" authorId="0" shapeId="0">
      <text>
        <r>
          <rPr>
            <sz val="9"/>
            <color indexed="81"/>
            <rFont val="Tahoma"/>
            <family val="2"/>
          </rPr>
          <t xml:space="preserve">     1 .. Die Arbeit wird im 0-3-7-System bewertet
&lt;&gt;1 .. Die Arbeit wird im Dezimalsystem bewertet</t>
        </r>
      </text>
    </comment>
    <comment ref="B14" authorId="0" shapeId="0">
      <text>
        <r>
          <rPr>
            <sz val="9"/>
            <color indexed="81"/>
            <rFont val="Tahoma"/>
            <family val="2"/>
          </rPr>
          <t>… Endgültige Note</t>
        </r>
      </text>
    </comment>
  </commentList>
</comments>
</file>

<file path=xl/sharedStrings.xml><?xml version="1.0" encoding="utf-8"?>
<sst xmlns="http://schemas.openxmlformats.org/spreadsheetml/2006/main" count="184" uniqueCount="145">
  <si>
    <t>Matrikelnummer</t>
  </si>
  <si>
    <t>Titel der Arbeit</t>
  </si>
  <si>
    <t>Gutachter</t>
  </si>
  <si>
    <t>Kurs</t>
  </si>
  <si>
    <t>Prozentwert:</t>
  </si>
  <si>
    <t>Notenvorschlag:</t>
  </si>
  <si>
    <t>Name</t>
  </si>
  <si>
    <t>Vorname</t>
  </si>
  <si>
    <t>Typ der Arbeit</t>
  </si>
  <si>
    <t>Auswertung</t>
  </si>
  <si>
    <t>Studienarbeit</t>
  </si>
  <si>
    <t>Einschätzungstexte</t>
  </si>
  <si>
    <t>Version:</t>
  </si>
  <si>
    <t>Bearbeitungsstand vom:</t>
  </si>
  <si>
    <t>1.0</t>
  </si>
  <si>
    <t>Dateiname:</t>
  </si>
  <si>
    <t>Akt. Stufe</t>
  </si>
  <si>
    <t>Typ der Arbeit (Nr.):</t>
  </si>
  <si>
    <t>Korrektur:</t>
  </si>
  <si>
    <t>keine</t>
  </si>
  <si>
    <t>Endnote Gutachten</t>
  </si>
  <si>
    <t>↗</t>
  </si>
  <si>
    <t>↘</t>
  </si>
  <si>
    <r>
      <t>Maximal mögliche Punkte P</t>
    </r>
    <r>
      <rPr>
        <b/>
        <vertAlign val="subscript"/>
        <sz val="11"/>
        <color theme="1"/>
        <rFont val="Calibri"/>
        <family val="2"/>
        <scheme val="minor"/>
      </rPr>
      <t>max</t>
    </r>
    <r>
      <rPr>
        <b/>
        <sz val="11"/>
        <color theme="1"/>
        <rFont val="Calibri"/>
        <family val="2"/>
        <scheme val="minor"/>
      </rPr>
      <t>:</t>
    </r>
  </si>
  <si>
    <t>Ende Tabelle (Diese Zeile nicht löschen oder verschieben)</t>
  </si>
  <si>
    <t>Zeilen/Kriterium</t>
  </si>
  <si>
    <t xml:space="preserve">Datum </t>
  </si>
  <si>
    <t>Bearbeiter</t>
  </si>
  <si>
    <t>Beschreibung</t>
  </si>
  <si>
    <t>Projektarbeit 1</t>
  </si>
  <si>
    <t>JF</t>
  </si>
  <si>
    <t>Versionsnummer nach Änderung</t>
  </si>
  <si>
    <t>Punktzahl/Stufe</t>
  </si>
  <si>
    <t>≠100%</t>
  </si>
  <si>
    <t>Max. Teiler</t>
  </si>
  <si>
    <t>Maximalpunktzahl:</t>
  </si>
  <si>
    <t>Akt. Teiler</t>
  </si>
  <si>
    <t>Bereichsgrenze</t>
  </si>
  <si>
    <t>Nr. der Endzeile:</t>
  </si>
  <si>
    <t>Vektorindex</t>
  </si>
  <si>
    <t>Akt. Auswahl</t>
  </si>
  <si>
    <t>- Einarbeitung der Vorschläge von Jürgen Klingenberg (Kriterien und Wichtungen)</t>
  </si>
  <si>
    <t>- Umstellung der Punktvergabe und Wichtung: für jedes Bewertungskriterium wird genau die gleiche Gesamtpunktzahl P_Krit vergeben, die danach gewichtet wird.</t>
  </si>
  <si>
    <r>
      <t>Erreichte Punkte P</t>
    </r>
    <r>
      <rPr>
        <b/>
        <vertAlign val="subscript"/>
        <sz val="11"/>
        <color theme="1"/>
        <rFont val="Calibri"/>
        <family val="2"/>
        <scheme val="minor"/>
      </rPr>
      <t>akt</t>
    </r>
    <r>
      <rPr>
        <b/>
        <sz val="11"/>
        <color theme="1"/>
        <rFont val="Calibri"/>
        <family val="2"/>
        <scheme val="minor"/>
      </rPr>
      <t xml:space="preserve"> </t>
    </r>
    <r>
      <rPr>
        <sz val="11"/>
        <color theme="1"/>
        <rFont val="Calibri"/>
        <family val="2"/>
        <scheme val="minor"/>
      </rPr>
      <t>(aufgerundet auf 0.5)</t>
    </r>
    <r>
      <rPr>
        <b/>
        <sz val="11"/>
        <color theme="1"/>
        <rFont val="Calibri"/>
        <family val="2"/>
        <scheme val="minor"/>
      </rPr>
      <t>:</t>
    </r>
  </si>
  <si>
    <t>Anzahl der Kriterien:</t>
  </si>
  <si>
    <t>Liste der Arbeiten</t>
  </si>
  <si>
    <r>
      <t>Erreichte Punkte P</t>
    </r>
    <r>
      <rPr>
        <b/>
        <vertAlign val="subscript"/>
        <sz val="11"/>
        <color theme="1"/>
        <rFont val="Calibri"/>
        <family val="2"/>
        <scheme val="minor"/>
      </rPr>
      <t>akt</t>
    </r>
    <r>
      <rPr>
        <b/>
        <sz val="11"/>
        <color theme="1"/>
        <rFont val="Calibri"/>
        <family val="2"/>
        <scheme val="minor"/>
      </rPr>
      <t xml:space="preserve"> </t>
    </r>
    <r>
      <rPr>
        <sz val="11"/>
        <color theme="1"/>
        <rFont val="Calibri"/>
        <family val="2"/>
        <scheme val="minor"/>
      </rPr>
      <t>(genauer Wert)</t>
    </r>
    <r>
      <rPr>
        <b/>
        <sz val="11"/>
        <color theme="1"/>
        <rFont val="Calibri"/>
        <family val="2"/>
        <scheme val="minor"/>
      </rPr>
      <t>:</t>
    </r>
  </si>
  <si>
    <t>Infos &amp; Organisation</t>
  </si>
  <si>
    <t>Bewertungs-kriterium</t>
  </si>
  <si>
    <t>untere Notengrenzen/ Notenliste</t>
  </si>
  <si>
    <t>Ausprägung der Leistungsstufen</t>
  </si>
  <si>
    <t>- 3 Ausprägungen für die Leistungsstufen (vollkommen zutreffend, überwiegend zutreffend, im Wesentlichen zutreffend) für Zehntelnoten</t>
  </si>
  <si>
    <t xml:space="preserve">- Quelle für Notenschlüssel: http://www.ba-dresden.de/de/service/dokumente/dokumente-fuer-dozenten.html </t>
  </si>
  <si>
    <t>vollkommen zutreffend</t>
  </si>
  <si>
    <t>überwiegend zutreffend</t>
  </si>
  <si>
    <t>Bitte geben Sie eine kurze Begründung zur manuellen Korrektur des Bewertungsvorschlags an!</t>
  </si>
  <si>
    <t>teilweise zutreffend</t>
  </si>
  <si>
    <t>Wichtung</t>
  </si>
  <si>
    <t>AK</t>
  </si>
  <si>
    <r>
      <t xml:space="preserve">Neue Zeilen bitte </t>
    </r>
    <r>
      <rPr>
        <b/>
        <u/>
        <sz val="11"/>
        <color rgb="FFFF0000"/>
        <rFont val="Calibri"/>
        <family val="2"/>
        <scheme val="minor"/>
      </rPr>
      <t>oberhalb</t>
    </r>
    <r>
      <rPr>
        <sz val="11"/>
        <color rgb="FFFF0000"/>
        <rFont val="Calibri"/>
        <family val="2"/>
        <scheme val="minor"/>
      </rPr>
      <t xml:space="preserve"> der vorangegangenen einfügen.</t>
    </r>
  </si>
  <si>
    <r>
      <t>Gewichtete Punkte P</t>
    </r>
    <r>
      <rPr>
        <b/>
        <vertAlign val="subscript"/>
        <sz val="12"/>
        <color theme="1"/>
        <rFont val="Calibri"/>
        <family val="2"/>
        <scheme val="minor"/>
      </rPr>
      <t>Wich</t>
    </r>
  </si>
  <si>
    <t>- Wichtungsformel geändert</t>
  </si>
  <si>
    <t>Notenzeile:</t>
  </si>
  <si>
    <t>- einige Formatierungen geändert</t>
  </si>
  <si>
    <t>Hinweistext Anmerkungen</t>
  </si>
  <si>
    <t xml:space="preserve"> </t>
  </si>
  <si>
    <t>- Verfahren für Hinweistext bei manueller Notenkorrektur geändert (jetzt nicht mehr bedingt formatiert sondern Text mit Wenn() angepasst)</t>
  </si>
  <si>
    <t>a) Aufgabenstellung nicht ausreichend erfasst:
    - unzureichende Analyse, unvollständige Anforderungen
    - unzulässige Vereinfachung</t>
  </si>
  <si>
    <t>b) Aufgabenstellung ausreichend erfasst:
    - Analyse und Ableitung der Anforderungen mit deutlichen Mängeln
    - zu starke Vereinfachung</t>
  </si>
  <si>
    <t>c) Aufgabenstellung befriedigend erfasst:
    - Analyse und Ableitung der Anforderungen mit geringen Mängeln
    - starke Vereinfachung</t>
  </si>
  <si>
    <t>d) Aufgabenstellung vollständig erfasst:
    - Analyse und Ableitung der Anforderungen ohne Mängel
    - sinnvolle Vereinfachung</t>
  </si>
  <si>
    <t>e) Aufgabenstellung hervorragend erfasst bzw. sinnvoll erweitert:
    - umfassende Analyse, zusätzliche Anforderungen aufgenommen
    - sehr gute Modellierung</t>
  </si>
  <si>
    <t>a) keine eigenen Ideen, keine Lösungsalternativen aufgezeigt
    unfähig zur Anwendung bekannter Lösungen auf neue Situation
    kaum Literaturbezug</t>
  </si>
  <si>
    <t>b) wenig eigene Ideen, nur wenige naheliegende Lösungsalternativen aufgezeigt
    Lösungseigenschaften nur oberflächlich betrachtet
    ansatzweise Anwendung bekannter Lösungen auf neue Situation
    mäßige Literaturrecherche, nur Grundlagenwerke</t>
  </si>
  <si>
    <t>d) eigene Ideen, bekannte Lösungen gut recherchiert
    Lösungseigenschaften nachvollziehbar ermittelt
    eigene Lösungen ansatzweise auf neue Situation angewandt
    gute Literaturrecherche: repräsentative Quellenübersicht</t>
  </si>
  <si>
    <t>e) wesentliche eigene Ideen, innovative Lösungen
    Lösungseigenschaften detailliert untersucht
    erfolgreiche Umsetzung der eigenen Ideen
    umfassende zielgerichtete Literaturrecherche</t>
  </si>
  <si>
    <t>a) unsystematische (planlose) Vorgehensweise
    nicht methodisch
    wesentliche fachliche Mängel</t>
  </si>
  <si>
    <t>b) mangelhafte Systematik
    Methoden ansatzweise erkennbar
    Fachkenntnisse lückenhaft</t>
  </si>
  <si>
    <t>c) geringe Mängel im systematischen Vorgehen
    kein konsequenter Methodeneinsatz
    Fachkenntnisse teilweise lückenhaft</t>
  </si>
  <si>
    <t>d) gute Systematik
    durchgängig Anwendung von üblichen Methoden
    gute Fachkenntnisse</t>
  </si>
  <si>
    <t>e) zielführende Systematik
    vorbildlicher Methodeneinsatz
    sehr gute Fachkenntnisse</t>
  </si>
  <si>
    <t>a) unzureichende Bearbeitung, lediglich Lösungsansätze 
    Ergebnis im Sinne der Aufgabe nicht nutzbar 
    Endergebnis erfüllt die Anforderungen der Aufgabenstellung nicht</t>
  </si>
  <si>
    <t>b) einige Teilprobleme gelöst oder teilweise gelöst
    Ergebnis erfordert wesentlichen Aufwand, um nutzbar gemacht zu werden
    das Endergebnis erfüllt die meisten Anforderungen der Aufgabenstellung</t>
  </si>
  <si>
    <t>c) die meisten Teilprobleme befriedigend gelöst
    Ergebnis kann durch Modifikationen nutzbar gemacht werden
    Endergebnis erfüllt die meisten Anforderungen der Aufgabenstellung</t>
  </si>
  <si>
    <t>d) alle Teilprobleme gut gelöst
    Ergebnis kann mit geringfügigen Modifikationen nutzbar gemacht werden
    Endergebnis erfüllt die wesentlichen Anforderungen der Aufgabenstellung</t>
  </si>
  <si>
    <t>e) alle Teilprobleme wurden vollständig gelöst
    zusätzliche Aspekte wurden bei der Lösungsfindung einbezogen
    Ergebnis kann ohne Modifikationen genutzt werden
    Endergebnis übertrifft die Erwartungen der Aufgabenstellung</t>
  </si>
  <si>
    <t>a) unvollständige, nicht nachvollziehbare Dokumentation
    mangelnde Sorgfalt</t>
  </si>
  <si>
    <t>b) ausreichende, nachvollziehbare Dokumentation
    mangelnde Sorgfalt und Vollständigkeit</t>
  </si>
  <si>
    <t>c) befriedigende, nachvollziehbare Dokumentation, sinnvolle Gliederung
    nur geringfügige Mängel bei Sorgfalt und Vollständigkeit</t>
  </si>
  <si>
    <t>d) gute Dokumentation, verständliche Darstellung
    Arbeit ist sorgfältig, übersichtlich und vollständig</t>
  </si>
  <si>
    <t>e) sehr gute Dokumentation, anschauliche prägnante Darstellung
    mustergültige Arbeit, sehr übersichtlich, vollständig</t>
  </si>
  <si>
    <t>a) sehr unselbstständig, umfangreiche Unterstützung notwendig
    keine Eigeninitiative</t>
  </si>
  <si>
    <t>b) überwiegend unselbstständig, deutliche Unterstützung notwendig
    kaum Eigeninitiative</t>
  </si>
  <si>
    <t>c) häufig selbstständiges Arbeiten, geringe Unterstützung
    wenig Eigeninitiative; nur bekannte Lösungsansätze</t>
  </si>
  <si>
    <t>d) überwiegend selbstständig
    ausgeprägte Eigeninitiative, alternative Ansätze</t>
  </si>
  <si>
    <t>e) vollkommen selbstständig
    durch große Eigeninitiative wurde das Ziel der Arbeit übertroffen</t>
  </si>
  <si>
    <t xml:space="preserve">Analyse der Aufgabenstellung
</t>
  </si>
  <si>
    <t xml:space="preserve">Ableitung der Lösung, Erfassung des IST-Standes
</t>
  </si>
  <si>
    <t>Systematik, Methodeneinsatz, Fachkenntnisse</t>
  </si>
  <si>
    <t>fachliche Bearbeitung, Erreichung der Zielsetzung</t>
  </si>
  <si>
    <t>Dokumentation, Sorgfalt</t>
  </si>
  <si>
    <t>Eigeninitiative, Selbständigkeit</t>
  </si>
  <si>
    <r>
      <t xml:space="preserve">Prozentwert  </t>
    </r>
    <r>
      <rPr>
        <sz val="11"/>
        <color theme="1"/>
        <rFont val="Calibri"/>
        <family val="2"/>
        <scheme val="minor"/>
      </rPr>
      <t>(aufgerundet auf 0.5%)</t>
    </r>
    <r>
      <rPr>
        <b/>
        <sz val="11"/>
        <color theme="1"/>
        <rFont val="Calibri"/>
        <family val="2"/>
        <scheme val="minor"/>
      </rPr>
      <t>:</t>
    </r>
  </si>
  <si>
    <t>- Register teilweise ausgeblendet und alles mit Passwort geschützt …</t>
  </si>
  <si>
    <t>- Änderungen aus speziellem Diplom-Beurteilungsbogen von 2017 eingearbeitet
- Notenformel auf die ursprügliche Funktion zurück geändert
- Notengrenzwerttabelle editiert (doppelte Werte herausgenommen)</t>
  </si>
  <si>
    <t xml:space="preserve"> Raum für Anmerkungen</t>
  </si>
  <si>
    <t xml:space="preserve">- Quelle für Leistungsstufen: http://www.dhbw-heidenheim.de/fuer-Studierende-und-Dozenten-Unterlagen-zum.734.0.html  </t>
  </si>
  <si>
    <t xml:space="preserve">Summe: </t>
  </si>
  <si>
    <t>- Bewertungs-Prozentgrenzen an die bisher im SG MB geltenden Werte geändert</t>
  </si>
  <si>
    <r>
      <t xml:space="preserve">- 5 Leistungsstufen für </t>
    </r>
    <r>
      <rPr>
        <b/>
        <sz val="11"/>
        <color theme="1"/>
        <rFont val="Calibri"/>
        <family val="2"/>
        <scheme val="minor"/>
      </rPr>
      <t>jedes</t>
    </r>
    <r>
      <rPr>
        <sz val="11"/>
        <color theme="1"/>
        <rFont val="Calibri"/>
        <family val="2"/>
        <scheme val="minor"/>
      </rPr>
      <t xml:space="preserve"> Bewertungskriterium (ungenügend, genügend, befriedigend, gut, sehr gut) </t>
    </r>
  </si>
  <si>
    <t xml:space="preserve">Punkte je Kriterium: </t>
  </si>
  <si>
    <t>c) einige eigene Ideen, nur wenige geeignete Lösungsalternativen aufgezeigt
     Lösungseigenschaften befriedigend betrachtet
     praktisch ausschließlich Anwendung bekannter Lösungen auf neue Situation
     befriedigende Literaturrecherche: Grundlagenwerke, Fachartikel</t>
  </si>
  <si>
    <t>Auswahlfeld</t>
  </si>
  <si>
    <r>
      <t>Aktuelle Punkte P</t>
    </r>
    <r>
      <rPr>
        <b/>
        <vertAlign val="subscript"/>
        <sz val="12"/>
        <color theme="1"/>
        <rFont val="Calibri"/>
        <family val="2"/>
        <scheme val="minor"/>
      </rPr>
      <t>akt</t>
    </r>
  </si>
  <si>
    <t>Ort, Datum</t>
  </si>
  <si>
    <t>Unterschrift / Stempel</t>
  </si>
  <si>
    <t>1.1</t>
  </si>
  <si>
    <t>Gutachterkorrektur</t>
  </si>
  <si>
    <t>Bewertungstyp</t>
  </si>
  <si>
    <t>Bezeichnung</t>
  </si>
  <si>
    <t>Korrekturwert Dezimal:</t>
  </si>
  <si>
    <t>1.2</t>
  </si>
  <si>
    <t>Bewertungstyp:</t>
  </si>
  <si>
    <t>- Notenbildung entsprechend "Richtlinie zur Beurteilung von Prüfungsleistungen"; StA Dresden</t>
  </si>
  <si>
    <t>- Bewertungsvorgaben geändert (Diplom bekommt wiederDezimalnoten, alle übrigen behalten das 0,3,7-System)</t>
  </si>
  <si>
    <t>Projektarbeit 2/3</t>
  </si>
  <si>
    <t>Projektarbeit 4</t>
  </si>
  <si>
    <t>- Beschreibung der Arbeitstypen geändert (Projektarbeiten 1, 2/3 und 4 sowie Studienarbeit und Diplomarbeit, vorher war 1, 2 und 3/4)</t>
  </si>
  <si>
    <r>
      <t xml:space="preserve">- Die im Register </t>
    </r>
    <r>
      <rPr>
        <i/>
        <sz val="11"/>
        <color theme="1"/>
        <rFont val="Calibri"/>
        <family val="2"/>
        <scheme val="minor"/>
      </rPr>
      <t>Beurteilung</t>
    </r>
    <r>
      <rPr>
        <sz val="11"/>
        <color theme="1"/>
        <rFont val="Calibri"/>
        <family val="2"/>
        <scheme val="minor"/>
      </rPr>
      <t xml:space="preserve"> ausgewählten Werte werden nun in anderen Registern hervorgehoben</t>
    </r>
  </si>
  <si>
    <t>Name dieses Registers:</t>
  </si>
  <si>
    <t>037</t>
  </si>
  <si>
    <t>Endnote Dezimal</t>
  </si>
  <si>
    <t>Endnote 0-3-7</t>
  </si>
  <si>
    <t xml:space="preserve">Max. Notenzeile: </t>
  </si>
  <si>
    <t>- Bewertungsformeln überarbeitet, besonders in den Endbereichen 1 und 4 (bzw. 5), Probleme der Gutachterkorrektur in den Endbereichen behoben</t>
  </si>
  <si>
    <t xml:space="preserve">Dateidatum </t>
  </si>
  <si>
    <t>Notenvorschlag Dezimal</t>
  </si>
  <si>
    <t>Notenvorschlag 0-3-7</t>
  </si>
  <si>
    <t>Notenvorschlag gemäß Bewertungstyp:</t>
  </si>
  <si>
    <t>1.3</t>
  </si>
  <si>
    <t>- Umstellung von Diplom- auf Bachelorarbeit</t>
  </si>
  <si>
    <t>Bachelorarbeit</t>
  </si>
  <si>
    <t>Beurteilungsbogen für Projekt-, Studien- und Abschlussarbeiten (für 6MB18)</t>
  </si>
  <si>
    <t>① Auswahl der Leistungsstufe</t>
  </si>
  <si>
    <t>② Ausprägung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</si>
</sst>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 @"/>
    <numFmt numFmtId="166" formatCode="0.0"/>
    <numFmt numFmtId="167" formatCode="0.0#"/>
    <numFmt numFmtId="168" formatCode="@\ "/>
    <numFmt numFmtId="169" formatCode="\ General"/>
    <numFmt numFmtId="170" formatCode="\ @\ "/>
    <numFmt numFmtId="171" formatCode="dd/mm/yy;@"/>
    <numFmt numFmtId="172" formatCode="\ \ 0.0"/>
    <numFmt numFmtId="173" formatCode="d/m/yyyy"/>
  </numFmts>
  <fonts count="39"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sz val="12"/>
      <color theme="1"/>
      <name val="Calibri"/>
      <family val="2"/>
      <scheme val="minor"/>
    </font>
    <font>
      <sz val="12"/>
      <color theme="1"/>
      <name val="Calibri"/>
      <family val="2"/>
    </font>
    <font>
      <b/>
      <vertAlign val="subscript"/>
      <sz val="11"/>
      <color theme="1"/>
      <name val="Calibri"/>
      <family val="2"/>
      <scheme val="minor"/>
    </font>
    <font>
      <sz val="8"/>
      <color theme="1" tint="0.499984740745262"/>
      <name val="Calibri"/>
      <family val="2"/>
      <scheme val="minor"/>
    </font>
    <font>
      <sz val="8"/>
      <color theme="0" tint="-0.14996795556505021"/>
      <name val="Calibri"/>
      <family val="2"/>
      <scheme val="minor"/>
    </font>
    <font>
      <i/>
      <sz val="11"/>
      <color theme="1"/>
      <name val="Calibri"/>
      <family val="2"/>
      <scheme val="minor"/>
    </font>
    <font>
      <sz val="11"/>
      <color theme="0" tint="-0.499984740745262"/>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4"/>
      <color theme="0" tint="-0.34998626667073579"/>
      <name val="Calibri"/>
      <family val="2"/>
      <scheme val="minor"/>
    </font>
    <font>
      <sz val="14"/>
      <color theme="1"/>
      <name val="Calibri"/>
      <family val="2"/>
      <scheme val="minor"/>
    </font>
    <font>
      <sz val="14"/>
      <color theme="3"/>
      <name val="Calibri"/>
      <family val="2"/>
      <scheme val="minor"/>
    </font>
    <font>
      <sz val="14"/>
      <color theme="0" tint="-0.34998626667073579"/>
      <name val="Calibri"/>
      <family val="2"/>
      <scheme val="minor"/>
    </font>
    <font>
      <b/>
      <sz val="14"/>
      <color theme="3"/>
      <name val="Calibri"/>
      <family val="2"/>
      <scheme val="minor"/>
    </font>
    <font>
      <b/>
      <sz val="16"/>
      <color theme="1"/>
      <name val="Calibri"/>
      <family val="2"/>
      <scheme val="minor"/>
    </font>
    <font>
      <b/>
      <u/>
      <sz val="11"/>
      <color rgb="FFFF0000"/>
      <name val="Calibri"/>
      <family val="2"/>
      <scheme val="minor"/>
    </font>
    <font>
      <b/>
      <sz val="11"/>
      <name val="Calibri"/>
      <family val="2"/>
      <scheme val="minor"/>
    </font>
    <font>
      <b/>
      <vertAlign val="subscript"/>
      <sz val="12"/>
      <color theme="1"/>
      <name val="Calibri"/>
      <family val="2"/>
      <scheme val="minor"/>
    </font>
    <font>
      <b/>
      <sz val="9"/>
      <color theme="1"/>
      <name val="Calibri"/>
      <family val="2"/>
      <scheme val="minor"/>
    </font>
    <font>
      <vertAlign val="subscript"/>
      <sz val="9"/>
      <color indexed="81"/>
      <name val="Tahoma"/>
      <family val="2"/>
    </font>
    <font>
      <b/>
      <sz val="9"/>
      <color indexed="81"/>
      <name val="Tahoma"/>
      <family val="2"/>
    </font>
    <font>
      <b/>
      <sz val="24"/>
      <color theme="1"/>
      <name val="Calibri"/>
      <family val="2"/>
      <scheme val="minor"/>
    </font>
    <font>
      <sz val="11"/>
      <color indexed="81"/>
      <name val="Tahoma"/>
      <family val="2"/>
    </font>
    <font>
      <sz val="11"/>
      <name val="Calibri"/>
      <family val="2"/>
      <scheme val="minor"/>
    </font>
    <font>
      <b/>
      <sz val="14"/>
      <color rgb="FFC00000"/>
      <name val="Calibri"/>
      <family val="2"/>
      <scheme val="minor"/>
    </font>
    <font>
      <sz val="11"/>
      <color theme="1"/>
      <name val="Calibri"/>
      <family val="2"/>
      <scheme val="minor"/>
    </font>
    <font>
      <b/>
      <sz val="10"/>
      <color theme="1"/>
      <name val="Calibri"/>
      <family val="2"/>
      <scheme val="minor"/>
    </font>
    <font>
      <b/>
      <sz val="8"/>
      <color rgb="FFC00000"/>
      <name val="Calibri"/>
      <family val="2"/>
      <scheme val="minor"/>
    </font>
    <font>
      <b/>
      <u/>
      <sz val="9"/>
      <color indexed="81"/>
      <name val="Tahoma"/>
      <family val="2"/>
    </font>
    <font>
      <b/>
      <sz val="20"/>
      <color theme="1"/>
      <name val="Calibri"/>
      <family val="2"/>
      <scheme val="minor"/>
    </font>
    <font>
      <b/>
      <sz val="11"/>
      <color theme="0" tint="-0.499984740745262"/>
      <name val="Calibri"/>
      <family val="2"/>
      <scheme val="minor"/>
    </font>
    <font>
      <sz val="11"/>
      <color theme="1"/>
      <name val="Calibri"/>
      <family val="2"/>
      <scheme val="minor"/>
    </font>
    <font>
      <sz val="14"/>
      <color theme="1"/>
      <name val="Calibri"/>
      <family val="2"/>
    </font>
    <font>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8" tint="0.39994506668294322"/>
        <bgColor indexed="64"/>
      </patternFill>
    </fill>
    <fill>
      <patternFill patternType="solid">
        <fgColor theme="0" tint="-0.14999847407452621"/>
        <bgColor indexed="64"/>
      </patternFill>
    </fill>
  </fills>
  <borders count="7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auto="1"/>
      </bottom>
      <diagonal/>
    </border>
    <border>
      <left/>
      <right/>
      <top style="thin">
        <color auto="1"/>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s>
  <cellStyleXfs count="2">
    <xf numFmtId="0" fontId="0" fillId="0" borderId="0"/>
    <xf numFmtId="9" fontId="11" fillId="0" borderId="0" applyFont="0" applyFill="0" applyBorder="0" applyAlignment="0" applyProtection="0"/>
  </cellStyleXfs>
  <cellXfs count="319">
    <xf numFmtId="0" fontId="0" fillId="0" borderId="0" xfId="0"/>
    <xf numFmtId="0" fontId="0" fillId="3" borderId="0" xfId="0" applyFill="1"/>
    <xf numFmtId="0" fontId="0" fillId="3" borderId="0" xfId="0" applyFill="1" applyAlignment="1">
      <alignment horizontal="center" vertical="center"/>
    </xf>
    <xf numFmtId="0" fontId="0" fillId="3" borderId="0" xfId="0" applyFill="1" applyBorder="1" applyAlignment="1">
      <alignment horizontal="center" vertical="center"/>
    </xf>
    <xf numFmtId="0" fontId="4" fillId="3" borderId="0" xfId="0" applyFont="1" applyFill="1"/>
    <xf numFmtId="0" fontId="4" fillId="3" borderId="0" xfId="0" applyFont="1" applyFill="1" applyAlignment="1">
      <alignment vertical="center"/>
    </xf>
    <xf numFmtId="0" fontId="8" fillId="3" borderId="44" xfId="0" applyFont="1" applyFill="1" applyBorder="1" applyAlignment="1">
      <alignment horizontal="center" vertical="center"/>
    </xf>
    <xf numFmtId="0" fontId="8" fillId="3" borderId="43" xfId="0" applyFont="1" applyFill="1" applyBorder="1" applyAlignment="1">
      <alignment horizontal="center" vertical="center"/>
    </xf>
    <xf numFmtId="0" fontId="0" fillId="3" borderId="0" xfId="0" applyFill="1" applyAlignment="1">
      <alignment wrapText="1"/>
    </xf>
    <xf numFmtId="0" fontId="0" fillId="3" borderId="0" xfId="0" applyFill="1" applyAlignment="1">
      <alignment horizontal="center" vertical="center" wrapText="1"/>
    </xf>
    <xf numFmtId="9" fontId="0" fillId="3" borderId="0" xfId="0" applyNumberFormat="1" applyFill="1" applyAlignment="1" applyProtection="1">
      <alignment vertical="center"/>
    </xf>
    <xf numFmtId="0" fontId="1" fillId="3" borderId="0" xfId="0" applyFont="1" applyFill="1" applyBorder="1" applyAlignment="1">
      <alignment horizontal="center" vertical="center"/>
    </xf>
    <xf numFmtId="0" fontId="1" fillId="3" borderId="0" xfId="0" applyFont="1" applyFill="1"/>
    <xf numFmtId="0" fontId="12" fillId="3" borderId="0" xfId="0" applyFont="1" applyFill="1"/>
    <xf numFmtId="0" fontId="0" fillId="3" borderId="17"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2" fillId="3" borderId="0" xfId="0" applyFont="1" applyFill="1" applyBorder="1" applyAlignment="1">
      <alignment horizontal="center" vertical="center"/>
    </xf>
    <xf numFmtId="0" fontId="0" fillId="3" borderId="0" xfId="0" applyFont="1" applyFill="1" applyAlignment="1">
      <alignment horizontal="left" vertical="center" wrapText="1" indent="3"/>
    </xf>
    <xf numFmtId="0" fontId="0" fillId="3" borderId="0" xfId="0" applyFont="1" applyFill="1" applyAlignment="1">
      <alignment horizontal="left" wrapText="1" indent="3"/>
    </xf>
    <xf numFmtId="0" fontId="14" fillId="6" borderId="0" xfId="0" applyFont="1" applyFill="1" applyBorder="1" applyAlignment="1">
      <alignment horizontal="center" vertical="center"/>
    </xf>
    <xf numFmtId="0" fontId="13" fillId="6" borderId="0" xfId="0" applyFont="1" applyFill="1" applyBorder="1" applyAlignment="1">
      <alignment vertical="center"/>
    </xf>
    <xf numFmtId="165" fontId="13" fillId="6" borderId="0" xfId="0" applyNumberFormat="1" applyFont="1" applyFill="1" applyBorder="1" applyAlignment="1">
      <alignment horizontal="left" vertical="center" wrapText="1"/>
    </xf>
    <xf numFmtId="165" fontId="13" fillId="6" borderId="0" xfId="0" applyNumberFormat="1" applyFont="1" applyFill="1" applyBorder="1" applyAlignment="1">
      <alignment vertical="center" wrapText="1"/>
    </xf>
    <xf numFmtId="0" fontId="13" fillId="6" borderId="0" xfId="0" applyFont="1" applyFill="1" applyBorder="1" applyAlignment="1">
      <alignment horizontal="center" vertical="center" wrapText="1"/>
    </xf>
    <xf numFmtId="0" fontId="13" fillId="6" borderId="10" xfId="0" applyFont="1" applyFill="1" applyBorder="1" applyAlignment="1">
      <alignment horizontal="center" vertical="top" wrapText="1"/>
    </xf>
    <xf numFmtId="0" fontId="0" fillId="3" borderId="18" xfId="0" applyFont="1" applyFill="1" applyBorder="1" applyAlignment="1" applyProtection="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left" indent="1"/>
    </xf>
    <xf numFmtId="0" fontId="15" fillId="3" borderId="0" xfId="0" applyFont="1" applyFill="1" applyAlignment="1">
      <alignment horizontal="left" wrapText="1" indent="3"/>
    </xf>
    <xf numFmtId="0" fontId="15" fillId="3" borderId="0" xfId="0" applyFont="1" applyFill="1"/>
    <xf numFmtId="0" fontId="15" fillId="6" borderId="7"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12" xfId="0" applyFont="1" applyFill="1" applyBorder="1" applyAlignment="1">
      <alignment horizontal="center"/>
    </xf>
    <xf numFmtId="0" fontId="15" fillId="6" borderId="12" xfId="0" applyFont="1" applyFill="1" applyBorder="1" applyAlignment="1">
      <alignment horizontal="left" wrapText="1" indent="3"/>
    </xf>
    <xf numFmtId="0" fontId="15" fillId="6" borderId="1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5" fillId="6" borderId="38" xfId="0" applyFont="1" applyFill="1" applyBorder="1" applyProtection="1"/>
    <xf numFmtId="0" fontId="15" fillId="3" borderId="0" xfId="0" applyFont="1" applyFill="1" applyProtection="1"/>
    <xf numFmtId="0" fontId="15" fillId="6" borderId="0" xfId="0" applyFont="1" applyFill="1" applyBorder="1" applyAlignment="1" applyProtection="1"/>
    <xf numFmtId="0" fontId="15" fillId="6" borderId="0" xfId="0" applyFont="1" applyFill="1" applyBorder="1" applyAlignment="1" applyProtection="1">
      <alignment horizontal="left" wrapText="1" indent="3"/>
    </xf>
    <xf numFmtId="0" fontId="15" fillId="6" borderId="38" xfId="0" applyFont="1" applyFill="1" applyBorder="1" applyAlignment="1" applyProtection="1"/>
    <xf numFmtId="0" fontId="15" fillId="6" borderId="39" xfId="0" applyFont="1" applyFill="1" applyBorder="1" applyAlignment="1" applyProtection="1">
      <alignment horizontal="center" vertical="center"/>
    </xf>
    <xf numFmtId="0" fontId="15" fillId="6" borderId="11" xfId="0" applyFont="1" applyFill="1" applyBorder="1" applyAlignment="1" applyProtection="1"/>
    <xf numFmtId="0" fontId="15" fillId="6" borderId="11" xfId="0" applyFont="1" applyFill="1" applyBorder="1" applyAlignment="1" applyProtection="1">
      <alignment horizontal="left" wrapText="1" indent="3"/>
    </xf>
    <xf numFmtId="0" fontId="15" fillId="6" borderId="12" xfId="0" applyFont="1" applyFill="1" applyBorder="1" applyAlignment="1">
      <alignment horizontal="center"/>
    </xf>
    <xf numFmtId="0" fontId="15" fillId="6" borderId="41" xfId="0" applyFont="1" applyFill="1" applyBorder="1" applyAlignment="1">
      <alignment horizontal="center"/>
    </xf>
    <xf numFmtId="0" fontId="15" fillId="6" borderId="10" xfId="0" applyFont="1" applyFill="1" applyBorder="1" applyAlignment="1">
      <alignment horizontal="center" vertical="center"/>
    </xf>
    <xf numFmtId="0" fontId="15" fillId="6" borderId="38" xfId="0" applyFont="1" applyFill="1" applyBorder="1" applyAlignment="1">
      <alignment vertical="center"/>
    </xf>
    <xf numFmtId="0" fontId="15" fillId="3" borderId="0" xfId="0" applyFont="1" applyFill="1" applyAlignment="1">
      <alignment vertical="center"/>
    </xf>
    <xf numFmtId="9" fontId="17" fillId="6" borderId="0" xfId="1" applyFont="1" applyFill="1" applyBorder="1" applyAlignment="1">
      <alignment horizontal="left" vertical="top" wrapText="1"/>
    </xf>
    <xf numFmtId="9" fontId="15" fillId="3" borderId="0" xfId="1" applyFont="1" applyFill="1" applyAlignment="1">
      <alignment vertical="center"/>
    </xf>
    <xf numFmtId="0" fontId="13"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8" xfId="0" applyFont="1" applyFill="1" applyBorder="1" applyAlignment="1">
      <alignment horizontal="center" vertical="center"/>
    </xf>
    <xf numFmtId="0" fontId="13" fillId="6" borderId="10" xfId="0" applyFont="1" applyFill="1" applyBorder="1" applyAlignment="1">
      <alignment horizontal="center" vertical="top"/>
    </xf>
    <xf numFmtId="0" fontId="15" fillId="6" borderId="10" xfId="0"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38" xfId="0" applyFont="1" applyFill="1" applyBorder="1" applyAlignment="1">
      <alignment vertical="center" wrapText="1"/>
    </xf>
    <xf numFmtId="0" fontId="13" fillId="6" borderId="28" xfId="0" applyNumberFormat="1" applyFont="1" applyFill="1" applyBorder="1" applyAlignment="1">
      <alignment horizontal="center"/>
    </xf>
    <xf numFmtId="0" fontId="13" fillId="6" borderId="26" xfId="0" applyNumberFormat="1" applyFont="1" applyFill="1" applyBorder="1" applyAlignment="1"/>
    <xf numFmtId="0" fontId="13" fillId="6" borderId="27" xfId="0" applyNumberFormat="1" applyFont="1" applyFill="1" applyBorder="1" applyAlignment="1"/>
    <xf numFmtId="0" fontId="15" fillId="3" borderId="0" xfId="0" applyFont="1" applyFill="1" applyAlignment="1"/>
    <xf numFmtId="0" fontId="0" fillId="3" borderId="0" xfId="0" applyFill="1" applyAlignment="1" applyProtection="1">
      <alignment vertical="center"/>
    </xf>
    <xf numFmtId="0" fontId="2"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left" vertical="center"/>
    </xf>
    <xf numFmtId="0" fontId="0" fillId="5" borderId="15" xfId="0" applyFill="1" applyBorder="1" applyAlignment="1" applyProtection="1">
      <alignment horizontal="right" vertical="center"/>
    </xf>
    <xf numFmtId="0" fontId="1" fillId="5" borderId="1" xfId="0" applyFont="1" applyFill="1" applyBorder="1" applyAlignment="1" applyProtection="1">
      <alignment horizontal="left" vertical="center"/>
    </xf>
    <xf numFmtId="0" fontId="0" fillId="5" borderId="1" xfId="0" applyFill="1" applyBorder="1" applyAlignment="1" applyProtection="1">
      <alignment horizontal="right" vertical="center"/>
    </xf>
    <xf numFmtId="0" fontId="1" fillId="5" borderId="4" xfId="0" applyFont="1" applyFill="1" applyBorder="1" applyAlignment="1" applyProtection="1">
      <alignment horizontal="left" vertical="center"/>
    </xf>
    <xf numFmtId="0" fontId="10" fillId="3" borderId="57" xfId="0" applyFont="1" applyFill="1" applyBorder="1" applyAlignment="1" applyProtection="1">
      <alignment horizontal="left" vertical="center" indent="1"/>
    </xf>
    <xf numFmtId="0" fontId="23" fillId="6" borderId="26" xfId="0" applyNumberFormat="1" applyFont="1" applyFill="1" applyBorder="1" applyAlignment="1"/>
    <xf numFmtId="0" fontId="15" fillId="6" borderId="39" xfId="0" applyFont="1" applyFill="1" applyBorder="1" applyAlignment="1"/>
    <xf numFmtId="0" fontId="15" fillId="6" borderId="40" xfId="0" applyFont="1" applyFill="1" applyBorder="1" applyAlignment="1"/>
    <xf numFmtId="165" fontId="16" fillId="4" borderId="11" xfId="0" applyNumberFormat="1" applyFont="1" applyFill="1" applyBorder="1" applyAlignment="1" applyProtection="1">
      <alignment vertical="center" shrinkToFit="1"/>
      <protection locked="0"/>
    </xf>
    <xf numFmtId="166" fontId="26" fillId="6" borderId="11" xfId="0" applyNumberFormat="1" applyFont="1" applyFill="1" applyBorder="1" applyAlignment="1" applyProtection="1">
      <alignment vertical="center"/>
    </xf>
    <xf numFmtId="0" fontId="0" fillId="3" borderId="52"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2" borderId="0" xfId="0" applyFill="1" applyProtection="1"/>
    <xf numFmtId="0" fontId="1" fillId="3" borderId="59" xfId="0" applyFont="1" applyFill="1" applyBorder="1" applyAlignment="1" applyProtection="1">
      <alignment horizontal="center" vertical="center" wrapText="1"/>
    </xf>
    <xf numFmtId="0" fontId="1" fillId="3" borderId="59" xfId="0" applyFont="1" applyFill="1" applyBorder="1" applyAlignment="1" applyProtection="1">
      <alignment horizontal="left" vertical="center" indent="1"/>
    </xf>
    <xf numFmtId="0" fontId="1" fillId="2" borderId="0" xfId="0" applyFont="1" applyFill="1" applyAlignment="1" applyProtection="1">
      <alignment vertical="center"/>
    </xf>
    <xf numFmtId="0" fontId="0" fillId="2" borderId="0" xfId="0" applyFill="1" applyAlignment="1" applyProtection="1">
      <alignment horizontal="center"/>
    </xf>
    <xf numFmtId="9" fontId="28" fillId="0" borderId="48" xfId="1" applyFont="1" applyBorder="1" applyAlignment="1" applyProtection="1">
      <alignment horizontal="center" vertical="center" wrapText="1"/>
      <protection locked="0"/>
    </xf>
    <xf numFmtId="9" fontId="28" fillId="0" borderId="55" xfId="1" applyFont="1" applyBorder="1" applyAlignment="1" applyProtection="1">
      <alignment horizontal="center" vertical="center" wrapText="1"/>
      <protection locked="0"/>
    </xf>
    <xf numFmtId="9" fontId="28" fillId="0" borderId="56" xfId="1" applyFont="1" applyBorder="1" applyAlignment="1" applyProtection="1">
      <alignment horizontal="center" vertical="center" wrapText="1"/>
      <protection locked="0"/>
    </xf>
    <xf numFmtId="0" fontId="15" fillId="4" borderId="0" xfId="0" applyFont="1" applyFill="1" applyBorder="1" applyAlignment="1" applyProtection="1">
      <alignment horizontal="center" vertical="center" shrinkToFit="1"/>
      <protection locked="0"/>
    </xf>
    <xf numFmtId="0" fontId="14" fillId="6" borderId="0" xfId="0" applyFont="1" applyFill="1" applyBorder="1" applyAlignment="1">
      <alignment horizontal="left" vertical="center" shrinkToFit="1"/>
    </xf>
    <xf numFmtId="166" fontId="28" fillId="8" borderId="3" xfId="0" applyNumberFormat="1" applyFont="1" applyFill="1" applyBorder="1" applyAlignment="1">
      <alignment horizontal="center" vertical="center"/>
    </xf>
    <xf numFmtId="166" fontId="28" fillId="8" borderId="6" xfId="0" applyNumberFormat="1" applyFont="1" applyFill="1" applyBorder="1" applyAlignment="1">
      <alignment horizontal="center" vertical="center"/>
    </xf>
    <xf numFmtId="49" fontId="0" fillId="0" borderId="47" xfId="0" quotePrefix="1" applyNumberFormat="1" applyFont="1" applyFill="1" applyBorder="1" applyAlignment="1" applyProtection="1">
      <alignment horizontal="left" vertical="top" wrapText="1" indent="1"/>
      <protection locked="0"/>
    </xf>
    <xf numFmtId="49" fontId="0" fillId="0" borderId="50" xfId="0" quotePrefix="1" applyNumberFormat="1" applyFont="1" applyFill="1" applyBorder="1" applyAlignment="1" applyProtection="1">
      <alignment horizontal="left" vertical="top" indent="1"/>
      <protection locked="0"/>
    </xf>
    <xf numFmtId="49" fontId="0" fillId="0" borderId="50" xfId="0" applyNumberFormat="1" applyFont="1" applyFill="1" applyBorder="1" applyAlignment="1" applyProtection="1">
      <alignment horizontal="left" vertical="top" indent="1"/>
      <protection locked="0"/>
    </xf>
    <xf numFmtId="49" fontId="0" fillId="0" borderId="47" xfId="0" applyNumberFormat="1" applyFont="1" applyFill="1" applyBorder="1" applyAlignment="1" applyProtection="1">
      <alignment horizontal="left" vertical="top" indent="1"/>
      <protection locked="0"/>
    </xf>
    <xf numFmtId="0" fontId="7" fillId="3" borderId="44" xfId="0" applyFont="1" applyFill="1" applyBorder="1" applyAlignment="1">
      <alignment vertical="center" wrapText="1"/>
    </xf>
    <xf numFmtId="0" fontId="32" fillId="3" borderId="42" xfId="0" applyFont="1" applyFill="1" applyBorder="1" applyAlignment="1">
      <alignment horizontal="center" vertical="center" wrapText="1"/>
    </xf>
    <xf numFmtId="49" fontId="30" fillId="0" borderId="50" xfId="0" quotePrefix="1" applyNumberFormat="1" applyFont="1" applyFill="1" applyBorder="1" applyAlignment="1" applyProtection="1">
      <alignment horizontal="left" indent="1"/>
      <protection locked="0"/>
    </xf>
    <xf numFmtId="2" fontId="31" fillId="3" borderId="14" xfId="0" applyNumberFormat="1" applyFont="1" applyFill="1" applyBorder="1" applyAlignment="1">
      <alignment horizontal="center" vertical="center" wrapText="1"/>
    </xf>
    <xf numFmtId="0" fontId="31" fillId="3" borderId="42" xfId="0" applyFont="1" applyFill="1" applyBorder="1" applyAlignment="1">
      <alignment horizontal="right" vertical="center" wrapText="1" indent="1"/>
    </xf>
    <xf numFmtId="0" fontId="0" fillId="5" borderId="36" xfId="0" applyFill="1" applyBorder="1" applyAlignment="1" applyProtection="1">
      <alignment horizontal="right" vertical="center"/>
    </xf>
    <xf numFmtId="0" fontId="0" fillId="5" borderId="24" xfId="0" applyFill="1" applyBorder="1" applyAlignment="1" applyProtection="1">
      <alignment horizontal="right" vertical="center"/>
    </xf>
    <xf numFmtId="0" fontId="7" fillId="3" borderId="26" xfId="0" applyFont="1" applyFill="1" applyBorder="1" applyAlignment="1">
      <alignment vertical="center" wrapText="1"/>
    </xf>
    <xf numFmtId="0" fontId="0" fillId="3" borderId="13" xfId="0" applyNumberFormat="1" applyFont="1" applyFill="1" applyBorder="1" applyAlignment="1" applyProtection="1">
      <alignment horizontal="center" vertical="center" wrapText="1"/>
    </xf>
    <xf numFmtId="0" fontId="0" fillId="3" borderId="17" xfId="0" applyNumberFormat="1" applyFont="1" applyFill="1" applyBorder="1" applyAlignment="1" applyProtection="1">
      <alignment horizontal="center" vertical="center" wrapText="1"/>
    </xf>
    <xf numFmtId="0" fontId="0" fillId="3" borderId="18" xfId="0" applyNumberFormat="1" applyFont="1" applyFill="1" applyBorder="1" applyAlignment="1" applyProtection="1">
      <alignment horizontal="center" vertical="center" wrapText="1"/>
    </xf>
    <xf numFmtId="0" fontId="0" fillId="3" borderId="19" xfId="0" applyNumberFormat="1" applyFont="1" applyFill="1" applyBorder="1" applyAlignment="1" applyProtection="1">
      <alignment horizontal="center" vertical="center" wrapText="1"/>
    </xf>
    <xf numFmtId="0" fontId="15" fillId="6" borderId="0" xfId="0" applyFont="1" applyFill="1" applyBorder="1" applyAlignment="1">
      <alignment horizontal="left" indent="1"/>
    </xf>
    <xf numFmtId="0" fontId="15" fillId="6" borderId="0" xfId="0" applyFont="1" applyFill="1" applyBorder="1" applyAlignment="1">
      <alignment horizontal="left" wrapText="1" indent="3"/>
    </xf>
    <xf numFmtId="0" fontId="15" fillId="6" borderId="0" xfId="0" applyFont="1" applyFill="1" applyBorder="1"/>
    <xf numFmtId="0" fontId="15" fillId="6" borderId="38" xfId="0" applyFont="1" applyFill="1" applyBorder="1"/>
    <xf numFmtId="0" fontId="19" fillId="6" borderId="10" xfId="0" applyFont="1" applyFill="1" applyBorder="1" applyAlignment="1">
      <alignment vertical="center" shrinkToFit="1"/>
    </xf>
    <xf numFmtId="0" fontId="19" fillId="6" borderId="38" xfId="0" applyFont="1" applyFill="1" applyBorder="1" applyAlignment="1">
      <alignment vertical="center" shrinkToFit="1"/>
    </xf>
    <xf numFmtId="0" fontId="35" fillId="5" borderId="1" xfId="0" applyFont="1" applyFill="1" applyBorder="1" applyAlignment="1" applyProtection="1">
      <alignment horizontal="left" vertical="center" indent="1"/>
    </xf>
    <xf numFmtId="0" fontId="0" fillId="3" borderId="0" xfId="0" applyFill="1" applyBorder="1" applyAlignment="1">
      <alignment horizontal="center" vertical="center"/>
    </xf>
    <xf numFmtId="0" fontId="4" fillId="3" borderId="0" xfId="0" applyFont="1" applyFill="1" applyAlignment="1">
      <alignment vertical="center"/>
    </xf>
    <xf numFmtId="49" fontId="0" fillId="0" borderId="50" xfId="0" applyNumberFormat="1" applyFont="1" applyFill="1" applyBorder="1" applyAlignment="1" applyProtection="1">
      <alignment horizontal="left" indent="1"/>
      <protection locked="0"/>
    </xf>
    <xf numFmtId="0" fontId="0" fillId="3" borderId="50" xfId="0" applyNumberFormat="1" applyFont="1" applyFill="1" applyBorder="1" applyAlignment="1" applyProtection="1">
      <alignment horizontal="left" vertical="center" indent="1"/>
    </xf>
    <xf numFmtId="0" fontId="1" fillId="2" borderId="0" xfId="0" applyFont="1" applyFill="1" applyAlignment="1" applyProtection="1">
      <alignment vertical="center"/>
    </xf>
    <xf numFmtId="0" fontId="0" fillId="3" borderId="58" xfId="0" applyNumberFormat="1" applyFont="1" applyFill="1" applyBorder="1" applyAlignment="1" applyProtection="1">
      <alignment horizontal="left" vertical="center" indent="1"/>
    </xf>
    <xf numFmtId="1" fontId="28" fillId="8" borderId="0" xfId="0" applyNumberFormat="1" applyFont="1" applyFill="1" applyBorder="1" applyAlignment="1">
      <alignment horizontal="center" vertical="center"/>
    </xf>
    <xf numFmtId="0" fontId="0" fillId="5" borderId="4" xfId="0" applyFont="1" applyFill="1" applyBorder="1" applyAlignment="1" applyProtection="1">
      <alignment horizontal="right" vertical="center"/>
    </xf>
    <xf numFmtId="0" fontId="0" fillId="3" borderId="16" xfId="0" applyFill="1" applyBorder="1" applyAlignment="1" applyProtection="1">
      <alignment horizontal="left" vertical="center" indent="1"/>
    </xf>
    <xf numFmtId="164" fontId="0" fillId="3" borderId="3" xfId="0" applyNumberFormat="1" applyFill="1" applyBorder="1" applyAlignment="1" applyProtection="1">
      <alignment horizontal="left" vertical="center" indent="1"/>
    </xf>
    <xf numFmtId="167" fontId="0" fillId="3" borderId="3" xfId="0" applyNumberFormat="1" applyFill="1" applyBorder="1" applyAlignment="1" applyProtection="1">
      <alignment horizontal="left" vertical="center" indent="1"/>
    </xf>
    <xf numFmtId="0" fontId="28" fillId="3" borderId="3" xfId="0" applyFont="1" applyFill="1" applyBorder="1" applyAlignment="1" applyProtection="1">
      <alignment horizontal="left" vertical="center" indent="1"/>
    </xf>
    <xf numFmtId="170" fontId="4" fillId="3" borderId="1" xfId="0" applyNumberFormat="1" applyFont="1" applyFill="1" applyBorder="1" applyAlignment="1" applyProtection="1">
      <alignment horizontal="center" textRotation="90"/>
    </xf>
    <xf numFmtId="170" fontId="4" fillId="3" borderId="2" xfId="0" applyNumberFormat="1" applyFont="1" applyFill="1" applyBorder="1" applyAlignment="1" applyProtection="1">
      <alignment horizontal="center" textRotation="90"/>
    </xf>
    <xf numFmtId="170" fontId="4" fillId="3" borderId="3" xfId="0" applyNumberFormat="1" applyFont="1" applyFill="1" applyBorder="1" applyAlignment="1" applyProtection="1">
      <alignment horizontal="center" textRotation="90"/>
    </xf>
    <xf numFmtId="49" fontId="4" fillId="4" borderId="15"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5" fillId="4" borderId="4" xfId="0" applyNumberFormat="1" applyFont="1" applyFill="1" applyBorder="1" applyAlignment="1" applyProtection="1">
      <alignment horizontal="center" vertical="center"/>
      <protection locked="0"/>
    </xf>
    <xf numFmtId="0" fontId="0" fillId="3" borderId="57" xfId="0" applyNumberFormat="1" applyFont="1" applyFill="1" applyBorder="1" applyAlignment="1" applyProtection="1">
      <alignment vertical="center"/>
    </xf>
    <xf numFmtId="1" fontId="0" fillId="3" borderId="51" xfId="0" applyNumberFormat="1" applyFill="1" applyBorder="1" applyAlignment="1" applyProtection="1">
      <alignment horizontal="left" vertical="center" indent="1"/>
    </xf>
    <xf numFmtId="0" fontId="0" fillId="3" borderId="56" xfId="0" applyFill="1" applyBorder="1" applyAlignment="1" applyProtection="1">
      <alignment vertical="center"/>
    </xf>
    <xf numFmtId="0" fontId="1" fillId="5" borderId="14" xfId="0" applyFont="1" applyFill="1" applyBorder="1" applyAlignment="1" applyProtection="1">
      <alignment horizontal="center" vertical="center"/>
    </xf>
    <xf numFmtId="0" fontId="0" fillId="3" borderId="48" xfId="0" applyFill="1" applyBorder="1" applyAlignment="1" applyProtection="1">
      <alignment horizontal="left" vertical="center" indent="1"/>
    </xf>
    <xf numFmtId="0" fontId="0" fillId="4" borderId="20" xfId="0" applyFont="1" applyFill="1" applyBorder="1" applyAlignment="1" applyProtection="1">
      <alignment horizontal="left" vertical="center" wrapText="1" indent="1"/>
      <protection locked="0"/>
    </xf>
    <xf numFmtId="0" fontId="0" fillId="4" borderId="21" xfId="0" applyFont="1" applyFill="1" applyBorder="1" applyAlignment="1" applyProtection="1">
      <alignment horizontal="left" vertical="center" wrapText="1" indent="1"/>
      <protection locked="0"/>
    </xf>
    <xf numFmtId="0" fontId="0" fillId="4" borderId="37" xfId="0" applyFont="1" applyFill="1" applyBorder="1" applyAlignment="1" applyProtection="1">
      <alignment horizontal="left" vertical="center" wrapText="1" indent="1"/>
      <protection locked="0"/>
    </xf>
    <xf numFmtId="0" fontId="0" fillId="4" borderId="22" xfId="0" applyFont="1" applyFill="1" applyBorder="1" applyAlignment="1" applyProtection="1">
      <alignment horizontal="left" vertical="center" wrapText="1" indent="1"/>
      <protection locked="0"/>
    </xf>
    <xf numFmtId="0" fontId="0" fillId="4" borderId="39" xfId="0" applyFont="1" applyFill="1" applyBorder="1" applyAlignment="1" applyProtection="1">
      <alignment horizontal="left" vertical="center" wrapText="1" indent="1"/>
      <protection locked="0"/>
    </xf>
    <xf numFmtId="0" fontId="28" fillId="4" borderId="67" xfId="1" applyNumberFormat="1" applyFont="1" applyFill="1" applyBorder="1" applyAlignment="1" applyProtection="1">
      <alignment horizontal="left" vertical="center" indent="1"/>
      <protection locked="0"/>
    </xf>
    <xf numFmtId="0" fontId="28" fillId="4" borderId="1" xfId="1" applyNumberFormat="1" applyFont="1" applyFill="1" applyBorder="1" applyAlignment="1" applyProtection="1">
      <alignment horizontal="left" vertical="center" indent="1"/>
      <protection locked="0"/>
    </xf>
    <xf numFmtId="0" fontId="28" fillId="4" borderId="4" xfId="1" applyNumberFormat="1" applyFont="1" applyFill="1" applyBorder="1" applyAlignment="1" applyProtection="1">
      <alignment horizontal="left" vertical="center" indent="1"/>
      <protection locked="0"/>
    </xf>
    <xf numFmtId="168" fontId="15" fillId="6" borderId="0" xfId="0" applyNumberFormat="1" applyFont="1" applyFill="1" applyBorder="1" applyAlignment="1" applyProtection="1">
      <alignment horizontal="right" vertical="center" shrinkToFit="1"/>
    </xf>
    <xf numFmtId="164" fontId="15" fillId="6" borderId="0" xfId="0" applyNumberFormat="1" applyFont="1" applyFill="1" applyBorder="1" applyAlignment="1" applyProtection="1">
      <alignment horizontal="left" vertical="center" shrinkToFit="1"/>
    </xf>
    <xf numFmtId="0" fontId="15" fillId="6" borderId="0" xfId="0" applyFont="1" applyFill="1" applyBorder="1" applyAlignment="1" applyProtection="1">
      <alignment horizontal="left" vertical="center" wrapText="1"/>
    </xf>
    <xf numFmtId="0" fontId="15" fillId="6" borderId="0" xfId="0" applyFont="1" applyFill="1" applyBorder="1" applyAlignment="1" applyProtection="1">
      <alignment horizontal="left" vertical="center"/>
    </xf>
    <xf numFmtId="166" fontId="15" fillId="6" borderId="0" xfId="0" applyNumberFormat="1" applyFont="1" applyFill="1" applyBorder="1" applyAlignment="1" applyProtection="1">
      <alignment horizontal="left" vertical="center" shrinkToFit="1"/>
    </xf>
    <xf numFmtId="49" fontId="36" fillId="0" borderId="50" xfId="0" applyNumberFormat="1" applyFont="1" applyFill="1" applyBorder="1" applyAlignment="1" applyProtection="1">
      <alignment horizontal="left" indent="1"/>
      <protection locked="0"/>
    </xf>
    <xf numFmtId="49" fontId="0" fillId="0" borderId="47" xfId="0" applyNumberFormat="1" applyFont="1" applyFill="1" applyBorder="1" applyAlignment="1" applyProtection="1">
      <alignment horizontal="center" vertical="top" wrapText="1"/>
      <protection locked="0"/>
    </xf>
    <xf numFmtId="49" fontId="0" fillId="0" borderId="50" xfId="0" applyNumberFormat="1" applyFont="1" applyFill="1" applyBorder="1" applyAlignment="1" applyProtection="1">
      <alignment horizontal="center" vertical="top"/>
      <protection locked="0"/>
    </xf>
    <xf numFmtId="171" fontId="1" fillId="3" borderId="54" xfId="0" applyNumberFormat="1" applyFont="1" applyFill="1" applyBorder="1" applyAlignment="1" applyProtection="1">
      <alignment horizontal="left" vertical="center" indent="1"/>
    </xf>
    <xf numFmtId="171" fontId="36" fillId="0" borderId="61" xfId="0" applyNumberFormat="1" applyFont="1" applyFill="1" applyBorder="1" applyAlignment="1" applyProtection="1">
      <alignment horizontal="left" indent="1"/>
      <protection locked="0"/>
    </xf>
    <xf numFmtId="171" fontId="30" fillId="0" borderId="61" xfId="0" applyNumberFormat="1" applyFont="1" applyFill="1" applyBorder="1" applyAlignment="1" applyProtection="1">
      <alignment horizontal="left" indent="1"/>
      <protection locked="0"/>
    </xf>
    <xf numFmtId="171" fontId="0" fillId="0" borderId="63" xfId="0" applyNumberFormat="1" applyFont="1" applyFill="1" applyBorder="1" applyAlignment="1" applyProtection="1">
      <alignment horizontal="left" vertical="top" indent="1"/>
      <protection locked="0"/>
    </xf>
    <xf numFmtId="171" fontId="0" fillId="0" borderId="61" xfId="0" applyNumberFormat="1" applyFont="1" applyFill="1" applyBorder="1" applyAlignment="1" applyProtection="1">
      <alignment horizontal="left" vertical="top" indent="1"/>
      <protection locked="0"/>
    </xf>
    <xf numFmtId="49" fontId="1" fillId="3" borderId="19" xfId="0" applyNumberFormat="1" applyFont="1" applyFill="1" applyBorder="1" applyAlignment="1" applyProtection="1">
      <alignment horizontal="center" vertical="center"/>
    </xf>
    <xf numFmtId="49" fontId="36" fillId="0" borderId="2" xfId="0" applyNumberFormat="1" applyFont="1" applyFill="1" applyBorder="1" applyAlignment="1" applyProtection="1">
      <alignment horizontal="center"/>
      <protection locked="0"/>
    </xf>
    <xf numFmtId="49" fontId="30" fillId="0" borderId="2" xfId="0" applyNumberFormat="1" applyFont="1" applyFill="1" applyBorder="1" applyAlignment="1" applyProtection="1">
      <alignment horizontal="center"/>
      <protection locked="0"/>
    </xf>
    <xf numFmtId="49" fontId="30" fillId="0" borderId="2" xfId="0" applyNumberFormat="1" applyFont="1" applyFill="1" applyBorder="1" applyAlignment="1" applyProtection="1">
      <alignment horizontal="center" vertical="top"/>
      <protection locked="0"/>
    </xf>
    <xf numFmtId="49" fontId="0" fillId="0" borderId="62" xfId="0" applyNumberFormat="1" applyFont="1" applyFill="1" applyBorder="1" applyAlignment="1" applyProtection="1">
      <alignment horizontal="center" vertical="top"/>
      <protection locked="0"/>
    </xf>
    <xf numFmtId="49" fontId="0" fillId="0" borderId="2" xfId="0" applyNumberFormat="1" applyFont="1" applyFill="1" applyBorder="1" applyAlignment="1" applyProtection="1">
      <alignment horizontal="center" vertical="top"/>
      <protection locked="0"/>
    </xf>
    <xf numFmtId="0" fontId="0" fillId="0" borderId="50" xfId="0" quotePrefix="1" applyNumberFormat="1" applyFont="1" applyFill="1" applyBorder="1" applyAlignment="1" applyProtection="1">
      <alignment horizontal="left" indent="1"/>
      <protection locked="0"/>
    </xf>
    <xf numFmtId="10" fontId="28" fillId="3" borderId="4" xfId="1" applyNumberFormat="1" applyFont="1" applyFill="1" applyBorder="1" applyAlignment="1" applyProtection="1">
      <alignment horizontal="left" vertical="center" indent="1"/>
    </xf>
    <xf numFmtId="166" fontId="28" fillId="3" borderId="6" xfId="0" quotePrefix="1" applyNumberFormat="1" applyFont="1" applyFill="1" applyBorder="1" applyAlignment="1" applyProtection="1">
      <alignment horizontal="center" vertical="center"/>
    </xf>
    <xf numFmtId="1" fontId="28" fillId="8" borderId="68" xfId="0" applyNumberFormat="1" applyFont="1" applyFill="1" applyBorder="1" applyAlignment="1" applyProtection="1">
      <alignment horizontal="center" vertical="center"/>
      <protection locked="0"/>
    </xf>
    <xf numFmtId="1" fontId="28" fillId="8" borderId="3" xfId="0" applyNumberFormat="1" applyFont="1" applyFill="1" applyBorder="1" applyAlignment="1" applyProtection="1">
      <alignment horizontal="center" vertical="center"/>
      <protection locked="0"/>
    </xf>
    <xf numFmtId="1" fontId="28" fillId="8" borderId="6" xfId="0" applyNumberFormat="1" applyFont="1" applyFill="1" applyBorder="1" applyAlignment="1" applyProtection="1">
      <alignment horizontal="center" vertical="center"/>
      <protection locked="0"/>
    </xf>
    <xf numFmtId="1" fontId="28" fillId="8" borderId="16" xfId="0" applyNumberFormat="1" applyFont="1" applyFill="1" applyBorder="1" applyAlignment="1" applyProtection="1">
      <alignment horizontal="center" vertical="center"/>
    </xf>
    <xf numFmtId="1" fontId="28" fillId="8" borderId="3" xfId="0" applyNumberFormat="1" applyFont="1" applyFill="1" applyBorder="1" applyAlignment="1" applyProtection="1">
      <alignment horizontal="center" vertical="center"/>
    </xf>
    <xf numFmtId="1" fontId="28" fillId="8" borderId="6" xfId="0" applyNumberFormat="1" applyFont="1" applyFill="1" applyBorder="1" applyAlignment="1" applyProtection="1">
      <alignment horizontal="center" vertical="center"/>
    </xf>
    <xf numFmtId="0" fontId="0" fillId="5" borderId="4" xfId="0" applyFill="1" applyBorder="1" applyAlignment="1" applyProtection="1">
      <alignment horizontal="right" vertical="center"/>
    </xf>
    <xf numFmtId="172" fontId="0" fillId="4" borderId="69" xfId="0" applyNumberFormat="1" applyFill="1" applyBorder="1" applyAlignment="1" applyProtection="1">
      <alignment horizontal="left" vertical="center"/>
      <protection locked="0"/>
    </xf>
    <xf numFmtId="0" fontId="0" fillId="3" borderId="0" xfId="0" applyFill="1" applyAlignment="1" applyProtection="1">
      <alignment horizontal="right" vertical="center"/>
    </xf>
    <xf numFmtId="166" fontId="28" fillId="8" borderId="70" xfId="0" applyNumberFormat="1" applyFont="1" applyFill="1" applyBorder="1" applyAlignment="1">
      <alignment horizontal="center" vertical="center"/>
    </xf>
    <xf numFmtId="0" fontId="0" fillId="3" borderId="46" xfId="0" applyNumberFormat="1" applyFont="1" applyFill="1" applyBorder="1" applyAlignment="1" applyProtection="1">
      <alignment horizontal="left" vertical="center" indent="1"/>
    </xf>
    <xf numFmtId="0" fontId="0" fillId="3" borderId="41" xfId="0" applyNumberFormat="1" applyFont="1" applyFill="1" applyBorder="1" applyAlignment="1" applyProtection="1">
      <alignment vertical="center"/>
    </xf>
    <xf numFmtId="166" fontId="0" fillId="3" borderId="3" xfId="0" applyNumberFormat="1" applyFill="1" applyBorder="1" applyAlignment="1" applyProtection="1">
      <alignment horizontal="left" vertical="center" indent="1"/>
    </xf>
    <xf numFmtId="171" fontId="0" fillId="0" borderId="61" xfId="0" applyNumberFormat="1" applyFont="1" applyFill="1" applyBorder="1" applyAlignment="1" applyProtection="1">
      <alignment horizontal="left" indent="1"/>
      <protection locked="0"/>
    </xf>
    <xf numFmtId="49" fontId="0" fillId="0" borderId="2" xfId="0" applyNumberFormat="1" applyFont="1" applyFill="1" applyBorder="1" applyAlignment="1" applyProtection="1">
      <alignment horizontal="center"/>
      <protection locked="0"/>
    </xf>
    <xf numFmtId="49" fontId="0" fillId="0" borderId="50" xfId="0" applyNumberFormat="1" applyFont="1" applyFill="1" applyBorder="1" applyAlignment="1" applyProtection="1">
      <alignment horizontal="center"/>
      <protection locked="0"/>
    </xf>
    <xf numFmtId="49" fontId="0" fillId="0" borderId="50" xfId="0" quotePrefix="1" applyNumberFormat="1" applyFont="1" applyFill="1" applyBorder="1" applyAlignment="1" applyProtection="1">
      <alignment horizontal="left" indent="1"/>
      <protection locked="0"/>
    </xf>
    <xf numFmtId="171" fontId="1" fillId="3" borderId="48" xfId="0" applyNumberFormat="1" applyFont="1" applyFill="1" applyBorder="1" applyAlignment="1" applyProtection="1">
      <alignment horizontal="left" vertical="center" indent="1"/>
    </xf>
    <xf numFmtId="0" fontId="0" fillId="3" borderId="50" xfId="0" applyFont="1" applyFill="1" applyBorder="1" applyAlignment="1" applyProtection="1">
      <alignment horizontal="left" vertical="center" indent="1"/>
    </xf>
    <xf numFmtId="0" fontId="0" fillId="3" borderId="57" xfId="0" applyFont="1" applyFill="1" applyBorder="1" applyAlignment="1" applyProtection="1">
      <alignment horizontal="left" vertical="center" indent="1"/>
    </xf>
    <xf numFmtId="166" fontId="28" fillId="3" borderId="3" xfId="0" applyNumberFormat="1" applyFont="1" applyFill="1" applyBorder="1" applyAlignment="1" applyProtection="1">
      <alignment horizontal="left" vertical="center" indent="1"/>
    </xf>
    <xf numFmtId="166" fontId="21" fillId="3" borderId="6" xfId="0" applyNumberFormat="1" applyFont="1" applyFill="1" applyBorder="1" applyAlignment="1" applyProtection="1">
      <alignment horizontal="left" vertical="center" indent="1"/>
    </xf>
    <xf numFmtId="10" fontId="28" fillId="4" borderId="1" xfId="1" applyNumberFormat="1" applyFont="1" applyFill="1" applyBorder="1" applyAlignment="1" applyProtection="1">
      <alignment horizontal="right" vertical="center" indent="2"/>
      <protection locked="0"/>
    </xf>
    <xf numFmtId="10" fontId="28" fillId="4" borderId="36" xfId="1" applyNumberFormat="1" applyFont="1" applyFill="1" applyBorder="1" applyAlignment="1" applyProtection="1">
      <alignment horizontal="right" vertical="center" indent="2"/>
      <protection locked="0"/>
    </xf>
    <xf numFmtId="10" fontId="28" fillId="4" borderId="4" xfId="1" applyNumberFormat="1" applyFont="1" applyFill="1" applyBorder="1" applyAlignment="1" applyProtection="1">
      <alignment horizontal="right" vertical="center" indent="2"/>
      <protection locked="0"/>
    </xf>
    <xf numFmtId="173" fontId="0" fillId="4" borderId="56" xfId="0" applyNumberFormat="1" applyFont="1" applyFill="1" applyBorder="1" applyAlignment="1" applyProtection="1">
      <alignment horizontal="center" vertical="center"/>
      <protection locked="0"/>
    </xf>
    <xf numFmtId="0" fontId="37" fillId="3" borderId="0" xfId="0" applyFont="1" applyFill="1" applyAlignment="1">
      <alignment vertical="center"/>
    </xf>
    <xf numFmtId="168" fontId="15" fillId="6" borderId="0" xfId="0" applyNumberFormat="1" applyFont="1" applyFill="1" applyBorder="1" applyAlignment="1" applyProtection="1">
      <alignment horizontal="right" vertical="center"/>
    </xf>
    <xf numFmtId="0" fontId="15" fillId="6" borderId="0" xfId="0" applyFont="1" applyFill="1" applyBorder="1" applyAlignment="1" applyProtection="1">
      <alignment horizontal="left" vertical="center" indent="1"/>
    </xf>
    <xf numFmtId="0" fontId="15" fillId="6" borderId="0" xfId="0" applyFont="1" applyFill="1" applyBorder="1" applyAlignment="1" applyProtection="1">
      <alignment horizontal="left" indent="1"/>
    </xf>
    <xf numFmtId="171" fontId="38" fillId="0" borderId="61" xfId="0" applyNumberFormat="1" applyFont="1" applyFill="1" applyBorder="1" applyAlignment="1" applyProtection="1">
      <alignment horizontal="left" indent="1"/>
      <protection locked="0"/>
    </xf>
    <xf numFmtId="49" fontId="38" fillId="0" borderId="2" xfId="0" applyNumberFormat="1" applyFont="1" applyFill="1" applyBorder="1" applyAlignment="1" applyProtection="1">
      <alignment horizontal="center"/>
      <protection locked="0"/>
    </xf>
    <xf numFmtId="49" fontId="38" fillId="0" borderId="50" xfId="0" applyNumberFormat="1" applyFont="1" applyFill="1" applyBorder="1" applyAlignment="1" applyProtection="1">
      <alignment horizontal="center"/>
      <protection locked="0"/>
    </xf>
    <xf numFmtId="49" fontId="38" fillId="0" borderId="50" xfId="0" quotePrefix="1" applyNumberFormat="1" applyFont="1" applyFill="1" applyBorder="1" applyAlignment="1" applyProtection="1">
      <alignment horizontal="left" indent="1"/>
      <protection locked="0"/>
    </xf>
    <xf numFmtId="0" fontId="15" fillId="6" borderId="37" xfId="0" applyFont="1" applyFill="1" applyBorder="1" applyAlignment="1">
      <alignment horizontal="center"/>
    </xf>
    <xf numFmtId="0" fontId="15" fillId="6" borderId="12" xfId="0" applyFont="1" applyFill="1" applyBorder="1" applyAlignment="1">
      <alignment horizontal="center"/>
    </xf>
    <xf numFmtId="0" fontId="15" fillId="6" borderId="0" xfId="0" applyFont="1" applyFill="1" applyBorder="1" applyAlignment="1">
      <alignment horizontal="center"/>
    </xf>
    <xf numFmtId="0" fontId="15" fillId="6" borderId="41" xfId="0" applyFont="1" applyFill="1" applyBorder="1" applyAlignment="1">
      <alignment horizontal="center"/>
    </xf>
    <xf numFmtId="0" fontId="15" fillId="6" borderId="0" xfId="0" applyFont="1" applyFill="1" applyBorder="1" applyAlignment="1">
      <alignment horizontal="center" vertical="center"/>
    </xf>
    <xf numFmtId="0" fontId="15" fillId="6" borderId="38" xfId="0" applyFont="1" applyFill="1" applyBorder="1" applyAlignment="1">
      <alignment horizontal="center" vertical="center"/>
    </xf>
    <xf numFmtId="0" fontId="13" fillId="6" borderId="0" xfId="0" applyFont="1" applyFill="1" applyBorder="1" applyAlignment="1">
      <alignment horizontal="left" vertical="top" wrapText="1"/>
    </xf>
    <xf numFmtId="0" fontId="15" fillId="7" borderId="50" xfId="0" applyFont="1" applyFill="1" applyBorder="1" applyAlignment="1" applyProtection="1">
      <alignment horizontal="left" vertical="center" wrapText="1" indent="2" shrinkToFit="1"/>
      <protection locked="0"/>
    </xf>
    <xf numFmtId="0" fontId="15" fillId="7" borderId="66" xfId="0" applyFont="1" applyFill="1" applyBorder="1" applyAlignment="1" applyProtection="1">
      <alignment horizontal="left" vertical="center" wrapText="1" indent="2" shrinkToFit="1"/>
      <protection locked="0"/>
    </xf>
    <xf numFmtId="0" fontId="15" fillId="7" borderId="61" xfId="0" applyFont="1" applyFill="1" applyBorder="1" applyAlignment="1" applyProtection="1">
      <alignment horizontal="left" vertical="center" wrapText="1" indent="2" shrinkToFit="1"/>
      <protection locked="0"/>
    </xf>
    <xf numFmtId="0" fontId="19" fillId="6" borderId="0" xfId="0" applyFont="1" applyFill="1" applyBorder="1" applyAlignment="1">
      <alignment horizontal="center" vertical="center" shrinkToFit="1"/>
    </xf>
    <xf numFmtId="0" fontId="18" fillId="4" borderId="50" xfId="0" applyFont="1" applyFill="1" applyBorder="1" applyAlignment="1" applyProtection="1">
      <alignment horizontal="center" vertical="center" wrapText="1"/>
      <protection locked="0"/>
    </xf>
    <xf numFmtId="0" fontId="18" fillId="4" borderId="61" xfId="0" applyFont="1" applyFill="1" applyBorder="1" applyAlignment="1" applyProtection="1">
      <alignment horizontal="center" vertical="center" wrapText="1"/>
      <protection locked="0"/>
    </xf>
    <xf numFmtId="0" fontId="13" fillId="6" borderId="0" xfId="0" applyFont="1" applyFill="1" applyBorder="1" applyAlignment="1">
      <alignment horizontal="left" vertical="top" wrapText="1" shrinkToFit="1"/>
    </xf>
    <xf numFmtId="165" fontId="19" fillId="6" borderId="0" xfId="0" applyNumberFormat="1" applyFont="1" applyFill="1" applyBorder="1" applyAlignment="1">
      <alignment horizontal="left" vertical="center" shrinkToFit="1"/>
    </xf>
    <xf numFmtId="0" fontId="13" fillId="6" borderId="46" xfId="0" applyFont="1" applyFill="1" applyBorder="1" applyAlignment="1" applyProtection="1">
      <alignment horizontal="center" shrinkToFit="1"/>
    </xf>
    <xf numFmtId="0" fontId="13" fillId="6" borderId="64" xfId="0" applyFont="1" applyFill="1" applyBorder="1" applyAlignment="1" applyProtection="1">
      <alignment horizontal="center" shrinkToFit="1"/>
    </xf>
    <xf numFmtId="166" fontId="26" fillId="6" borderId="13" xfId="0" applyNumberFormat="1" applyFont="1" applyFill="1" applyBorder="1" applyAlignment="1" applyProtection="1">
      <alignment horizontal="center" vertical="center" shrinkToFit="1"/>
    </xf>
    <xf numFmtId="166" fontId="26" fillId="6" borderId="53" xfId="0" applyNumberFormat="1" applyFont="1" applyFill="1" applyBorder="1" applyAlignment="1" applyProtection="1">
      <alignment horizontal="center" vertical="center" shrinkToFit="1"/>
    </xf>
    <xf numFmtId="166" fontId="26" fillId="6" borderId="47" xfId="0" applyNumberFormat="1" applyFont="1" applyFill="1" applyBorder="1" applyAlignment="1" applyProtection="1">
      <alignment horizontal="center" vertical="center" shrinkToFit="1"/>
    </xf>
    <xf numFmtId="166" fontId="26" fillId="6" borderId="63" xfId="0" applyNumberFormat="1" applyFont="1" applyFill="1" applyBorder="1" applyAlignment="1" applyProtection="1">
      <alignment horizontal="center" vertical="center" shrinkToFit="1"/>
    </xf>
    <xf numFmtId="0" fontId="15" fillId="6" borderId="8" xfId="0" applyFont="1" applyFill="1" applyBorder="1" applyAlignment="1">
      <alignment horizontal="center"/>
    </xf>
    <xf numFmtId="0" fontId="15" fillId="6" borderId="9" xfId="0" applyFont="1" applyFill="1" applyBorder="1" applyAlignment="1">
      <alignment horizontal="center"/>
    </xf>
    <xf numFmtId="165" fontId="16" fillId="4" borderId="11" xfId="0" applyNumberFormat="1" applyFont="1" applyFill="1" applyBorder="1" applyAlignment="1" applyProtection="1">
      <alignment horizontal="left" vertical="center" indent="1" shrinkToFit="1"/>
      <protection locked="0"/>
    </xf>
    <xf numFmtId="0" fontId="16" fillId="4" borderId="0" xfId="0" applyFont="1" applyFill="1" applyAlignment="1" applyProtection="1">
      <alignment horizontal="left" vertical="top" wrapText="1" indent="1"/>
      <protection locked="0"/>
    </xf>
    <xf numFmtId="0" fontId="16" fillId="4" borderId="11" xfId="0" applyFont="1" applyFill="1" applyBorder="1" applyAlignment="1" applyProtection="1">
      <alignment horizontal="left" vertical="top" wrapText="1" indent="1"/>
      <protection locked="0"/>
    </xf>
    <xf numFmtId="0" fontId="15" fillId="6" borderId="0" xfId="0" applyFont="1" applyFill="1" applyBorder="1" applyAlignment="1" applyProtection="1">
      <alignment horizontal="left" vertical="top"/>
    </xf>
    <xf numFmtId="0" fontId="15" fillId="6" borderId="8" xfId="0" applyFont="1" applyFill="1" applyBorder="1" applyAlignment="1">
      <alignment horizontal="center" wrapText="1"/>
    </xf>
    <xf numFmtId="169" fontId="13" fillId="6" borderId="7" xfId="0" applyNumberFormat="1" applyFont="1" applyFill="1" applyBorder="1" applyAlignment="1">
      <alignment horizontal="left" vertical="center"/>
    </xf>
    <xf numFmtId="169" fontId="13" fillId="6" borderId="8" xfId="0" applyNumberFormat="1" applyFont="1" applyFill="1" applyBorder="1" applyAlignment="1">
      <alignment horizontal="left" vertical="center"/>
    </xf>
    <xf numFmtId="0" fontId="29" fillId="6" borderId="8" xfId="0" applyFont="1" applyFill="1" applyBorder="1" applyAlignment="1">
      <alignment horizontal="left" vertical="center" indent="1"/>
    </xf>
    <xf numFmtId="0" fontId="29" fillId="6" borderId="9" xfId="0" applyFont="1" applyFill="1" applyBorder="1" applyAlignment="1">
      <alignment horizontal="left" vertical="center" indent="1"/>
    </xf>
    <xf numFmtId="0" fontId="13" fillId="6" borderId="28" xfId="0" applyNumberFormat="1" applyFont="1" applyFill="1" applyBorder="1" applyAlignment="1">
      <alignment horizontal="center" vertical="center"/>
    </xf>
    <xf numFmtId="0" fontId="13" fillId="6" borderId="26" xfId="0" applyNumberFormat="1" applyFont="1" applyFill="1" applyBorder="1" applyAlignment="1">
      <alignment horizontal="center" vertical="center"/>
    </xf>
    <xf numFmtId="0" fontId="13" fillId="6" borderId="27" xfId="0" applyNumberFormat="1" applyFont="1" applyFill="1" applyBorder="1" applyAlignment="1">
      <alignment horizontal="center" vertical="center"/>
    </xf>
    <xf numFmtId="0" fontId="34" fillId="6" borderId="0" xfId="0" applyFont="1" applyFill="1" applyBorder="1" applyAlignment="1">
      <alignment horizontal="left" vertical="center" shrinkToFit="1"/>
    </xf>
    <xf numFmtId="0" fontId="4" fillId="6" borderId="11" xfId="0" applyFont="1" applyFill="1" applyBorder="1" applyAlignment="1">
      <alignment horizontal="left" vertical="top"/>
    </xf>
    <xf numFmtId="0" fontId="1" fillId="3" borderId="17"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59" xfId="0" applyFont="1" applyFill="1" applyBorder="1" applyAlignment="1" applyProtection="1">
      <alignment horizontal="center" vertical="center"/>
    </xf>
    <xf numFmtId="166" fontId="21" fillId="3" borderId="17" xfId="0" applyNumberFormat="1" applyFont="1" applyFill="1" applyBorder="1" applyAlignment="1">
      <alignment horizontal="center" vertical="center"/>
    </xf>
    <xf numFmtId="166" fontId="21" fillId="3" borderId="18" xfId="0" applyNumberFormat="1" applyFont="1" applyFill="1" applyBorder="1" applyAlignment="1">
      <alignment horizontal="center" vertical="center"/>
    </xf>
    <xf numFmtId="166" fontId="21" fillId="3" borderId="19" xfId="0" applyNumberFormat="1" applyFont="1" applyFill="1" applyBorder="1" applyAlignment="1">
      <alignment horizontal="center" vertical="center"/>
    </xf>
    <xf numFmtId="0" fontId="2" fillId="3" borderId="60"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0" fontId="2" fillId="3" borderId="59" xfId="0" applyFont="1" applyFill="1" applyBorder="1" applyAlignment="1">
      <alignment horizontal="center" vertical="center" textRotation="90" wrapText="1"/>
    </xf>
    <xf numFmtId="0" fontId="2" fillId="3" borderId="2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45"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19" fillId="3" borderId="29" xfId="0" applyFont="1" applyFill="1" applyBorder="1" applyAlignment="1">
      <alignment horizontal="left" vertical="center" wrapText="1" indent="1"/>
    </xf>
    <xf numFmtId="0" fontId="19" fillId="3" borderId="30" xfId="0" applyFont="1" applyFill="1" applyBorder="1" applyAlignment="1">
      <alignment horizontal="left" vertical="center" wrapText="1" indent="1"/>
    </xf>
    <xf numFmtId="0" fontId="2" fillId="3" borderId="23" xfId="0" applyFont="1" applyFill="1" applyBorder="1" applyAlignment="1">
      <alignment horizontal="center" vertical="center" textRotation="90" wrapText="1"/>
    </xf>
    <xf numFmtId="0" fontId="2" fillId="3" borderId="24" xfId="0" applyFont="1" applyFill="1" applyBorder="1" applyAlignment="1">
      <alignment horizontal="center" vertical="center" textRotation="90" wrapText="1"/>
    </xf>
    <xf numFmtId="0" fontId="2" fillId="3" borderId="25" xfId="0" applyFont="1" applyFill="1" applyBorder="1" applyAlignment="1">
      <alignment horizontal="center" vertical="center" textRotation="90" wrapText="1"/>
    </xf>
    <xf numFmtId="0" fontId="2" fillId="3" borderId="23" xfId="0" applyFont="1" applyFill="1" applyBorder="1" applyAlignment="1">
      <alignment horizontal="center" vertical="center" textRotation="90"/>
    </xf>
    <xf numFmtId="0" fontId="2" fillId="3" borderId="24" xfId="0" applyFont="1" applyFill="1" applyBorder="1" applyAlignment="1">
      <alignment horizontal="center" vertical="center" textRotation="90"/>
    </xf>
    <xf numFmtId="0" fontId="2" fillId="3" borderId="25" xfId="0" applyFont="1" applyFill="1" applyBorder="1" applyAlignment="1">
      <alignment horizontal="center" vertical="center" textRotation="90"/>
    </xf>
    <xf numFmtId="0" fontId="4"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3" borderId="52" xfId="0" applyFont="1" applyFill="1" applyBorder="1" applyAlignment="1">
      <alignment horizontal="center" vertical="center" textRotation="90"/>
    </xf>
    <xf numFmtId="0" fontId="2" fillId="3" borderId="53" xfId="0" applyFont="1" applyFill="1" applyBorder="1" applyAlignment="1">
      <alignment horizontal="center" vertical="center" textRotation="90"/>
    </xf>
    <xf numFmtId="0" fontId="2" fillId="3" borderId="54" xfId="0" applyFont="1" applyFill="1" applyBorder="1" applyAlignment="1">
      <alignment horizontal="center" vertical="center" textRotation="90"/>
    </xf>
    <xf numFmtId="0" fontId="2" fillId="3" borderId="17" xfId="0" applyFont="1" applyFill="1" applyBorder="1" applyAlignment="1">
      <alignment horizontal="center" vertical="center" textRotation="90"/>
    </xf>
    <xf numFmtId="0" fontId="2" fillId="3" borderId="18" xfId="0" applyFont="1" applyFill="1" applyBorder="1" applyAlignment="1">
      <alignment horizontal="center" vertical="center" textRotation="90"/>
    </xf>
    <xf numFmtId="0" fontId="2" fillId="3" borderId="19" xfId="0" applyFont="1" applyFill="1" applyBorder="1" applyAlignment="1">
      <alignment horizontal="center" vertical="center" textRotation="90"/>
    </xf>
    <xf numFmtId="0" fontId="2" fillId="3" borderId="32" xfId="0" applyFont="1" applyFill="1" applyBorder="1" applyAlignment="1">
      <alignment horizontal="center" vertical="center" textRotation="90"/>
    </xf>
    <xf numFmtId="0" fontId="2" fillId="3" borderId="33" xfId="0" applyFont="1" applyFill="1" applyBorder="1" applyAlignment="1">
      <alignment horizontal="center" vertical="center" textRotation="90"/>
    </xf>
    <xf numFmtId="0" fontId="2" fillId="3" borderId="34" xfId="0" applyFont="1" applyFill="1" applyBorder="1" applyAlignment="1">
      <alignment horizontal="center" vertical="center" textRotation="90"/>
    </xf>
    <xf numFmtId="0" fontId="2" fillId="3" borderId="17" xfId="0" applyFont="1" applyFill="1" applyBorder="1" applyAlignment="1">
      <alignment horizontal="center" vertical="center" textRotation="90" wrapText="1"/>
    </xf>
    <xf numFmtId="0" fontId="2" fillId="3" borderId="18" xfId="0" applyFont="1" applyFill="1" applyBorder="1" applyAlignment="1">
      <alignment horizontal="center" vertical="center" textRotation="90" wrapText="1"/>
    </xf>
    <xf numFmtId="0" fontId="2" fillId="3" borderId="19" xfId="0" applyFont="1" applyFill="1" applyBorder="1" applyAlignment="1">
      <alignment horizontal="center" vertical="center" textRotation="90" wrapText="1"/>
    </xf>
    <xf numFmtId="0" fontId="2" fillId="3" borderId="9" xfId="0" applyFont="1" applyFill="1" applyBorder="1" applyAlignment="1">
      <alignment horizontal="center" vertical="center" textRotation="90"/>
    </xf>
    <xf numFmtId="0" fontId="2" fillId="3" borderId="38" xfId="0" applyFont="1" applyFill="1" applyBorder="1" applyAlignment="1">
      <alignment horizontal="center" vertical="center" textRotation="90"/>
    </xf>
    <xf numFmtId="0" fontId="2" fillId="3" borderId="27" xfId="0" applyFont="1" applyFill="1" applyBorder="1" applyAlignment="1">
      <alignment horizontal="center" vertical="center" textRotation="90"/>
    </xf>
    <xf numFmtId="0" fontId="0" fillId="4" borderId="17"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4" borderId="65"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2" fontId="0" fillId="3" borderId="32" xfId="0" applyNumberFormat="1" applyFont="1" applyFill="1" applyBorder="1" applyAlignment="1" applyProtection="1">
      <alignment horizontal="center" vertical="center"/>
    </xf>
    <xf numFmtId="2" fontId="0" fillId="3" borderId="33" xfId="0" applyNumberFormat="1" applyFont="1" applyFill="1" applyBorder="1" applyAlignment="1" applyProtection="1">
      <alignment horizontal="center" vertical="center"/>
    </xf>
    <xf numFmtId="2" fontId="0" fillId="3" borderId="34" xfId="0" applyNumberFormat="1" applyFont="1" applyFill="1" applyBorder="1" applyAlignment="1" applyProtection="1">
      <alignment horizontal="center" vertical="center"/>
    </xf>
    <xf numFmtId="0" fontId="0" fillId="8" borderId="65" xfId="0" applyFont="1" applyFill="1" applyBorder="1" applyAlignment="1" applyProtection="1">
      <alignment horizontal="center" vertical="center"/>
      <protection locked="0"/>
    </xf>
    <xf numFmtId="0" fontId="21" fillId="3" borderId="23" xfId="0" applyNumberFormat="1" applyFont="1" applyFill="1" applyBorder="1" applyAlignment="1">
      <alignment horizontal="center" vertical="center"/>
    </xf>
    <xf numFmtId="0" fontId="21" fillId="3" borderId="24" xfId="0" applyNumberFormat="1" applyFont="1" applyFill="1" applyBorder="1" applyAlignment="1">
      <alignment horizontal="center" vertical="center"/>
    </xf>
    <xf numFmtId="0" fontId="21" fillId="3" borderId="25" xfId="0" applyNumberFormat="1" applyFont="1" applyFill="1" applyBorder="1" applyAlignment="1">
      <alignment horizontal="center" vertical="center"/>
    </xf>
    <xf numFmtId="0" fontId="0" fillId="4" borderId="7" xfId="0" applyFont="1" applyFill="1" applyBorder="1" applyAlignment="1" applyProtection="1">
      <alignment horizontal="left" vertical="center" wrapText="1" indent="1"/>
      <protection locked="0"/>
    </xf>
    <xf numFmtId="0" fontId="0" fillId="4" borderId="10" xfId="0" applyFont="1" applyFill="1" applyBorder="1" applyAlignment="1" applyProtection="1">
      <alignment horizontal="left" vertical="center" wrapText="1" indent="1"/>
      <protection locked="0"/>
    </xf>
    <xf numFmtId="0" fontId="0" fillId="4" borderId="28" xfId="0" applyFont="1" applyFill="1" applyBorder="1" applyAlignment="1" applyProtection="1">
      <alignment horizontal="left" vertical="center" wrapText="1" indent="1"/>
      <protection locked="0"/>
    </xf>
    <xf numFmtId="0" fontId="0" fillId="4" borderId="35" xfId="0" applyFont="1" applyFill="1" applyBorder="1" applyAlignment="1" applyProtection="1">
      <alignment horizontal="left" vertical="center" wrapText="1" indent="1"/>
      <protection locked="0"/>
    </xf>
    <xf numFmtId="0" fontId="0" fillId="4" borderId="29" xfId="0" applyFont="1" applyFill="1" applyBorder="1" applyAlignment="1" applyProtection="1">
      <alignment horizontal="left" vertical="center" wrapText="1" indent="1"/>
      <protection locked="0"/>
    </xf>
    <xf numFmtId="0" fontId="0" fillId="4" borderId="30" xfId="0" applyFont="1" applyFill="1" applyBorder="1" applyAlignment="1" applyProtection="1">
      <alignment horizontal="left" vertical="center" wrapText="1" indent="1"/>
      <protection locked="0"/>
    </xf>
    <xf numFmtId="0" fontId="2" fillId="5" borderId="7"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0" fillId="3" borderId="49" xfId="0" applyFont="1" applyFill="1" applyBorder="1" applyAlignment="1" applyProtection="1">
      <alignment horizontal="left" vertical="center" indent="1"/>
    </xf>
    <xf numFmtId="0" fontId="0" fillId="3" borderId="45" xfId="0" applyFont="1" applyFill="1" applyBorder="1" applyAlignment="1" applyProtection="1">
      <alignment horizontal="left" vertical="center" indent="1"/>
    </xf>
    <xf numFmtId="173" fontId="0" fillId="3" borderId="50" xfId="0" applyNumberFormat="1" applyFill="1" applyBorder="1" applyAlignment="1" applyProtection="1">
      <alignment horizontal="left" vertical="center" indent="1"/>
    </xf>
    <xf numFmtId="173" fontId="0" fillId="3" borderId="57" xfId="0" applyNumberFormat="1" applyFill="1" applyBorder="1" applyAlignment="1" applyProtection="1">
      <alignment horizontal="left" vertical="center" indent="1"/>
    </xf>
    <xf numFmtId="49" fontId="0" fillId="4" borderId="51" xfId="0" applyNumberFormat="1" applyFont="1" applyFill="1" applyBorder="1" applyAlignment="1" applyProtection="1">
      <alignment horizontal="left" vertical="center" indent="1"/>
      <protection locked="0"/>
    </xf>
    <xf numFmtId="49" fontId="0" fillId="4" borderId="58" xfId="0" applyNumberFormat="1" applyFont="1" applyFill="1" applyBorder="1" applyAlignment="1" applyProtection="1">
      <alignment horizontal="left" vertical="center" indent="1"/>
      <protection locked="0"/>
    </xf>
    <xf numFmtId="1" fontId="0" fillId="4" borderId="47" xfId="0" applyNumberFormat="1" applyFont="1" applyFill="1" applyBorder="1" applyAlignment="1" applyProtection="1">
      <alignment horizontal="left" vertical="center" wrapText="1" indent="1"/>
      <protection locked="0"/>
    </xf>
    <xf numFmtId="1" fontId="0" fillId="4" borderId="40" xfId="0" applyNumberFormat="1" applyFont="1" applyFill="1" applyBorder="1" applyAlignment="1" applyProtection="1">
      <alignment horizontal="left" vertical="center" wrapText="1" indent="1"/>
      <protection locked="0"/>
    </xf>
    <xf numFmtId="0" fontId="0" fillId="3" borderId="50" xfId="0" applyNumberFormat="1" applyFont="1" applyFill="1" applyBorder="1" applyAlignment="1" applyProtection="1">
      <alignment horizontal="left" vertical="center" indent="1"/>
    </xf>
    <xf numFmtId="0" fontId="0" fillId="3" borderId="57" xfId="0" applyNumberFormat="1" applyFont="1" applyFill="1" applyBorder="1" applyAlignment="1" applyProtection="1">
      <alignment horizontal="left" vertical="center" indent="1"/>
    </xf>
    <xf numFmtId="0" fontId="12" fillId="2" borderId="0" xfId="0" applyFont="1" applyFill="1" applyAlignment="1" applyProtection="1">
      <alignment horizontal="left"/>
    </xf>
  </cellXfs>
  <cellStyles count="2">
    <cellStyle name="Prozent" xfId="1" builtinId="5"/>
    <cellStyle name="Standard" xfId="0" builtinId="0"/>
  </cellStyles>
  <dxfs count="17">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bottom" textRotation="0" wrapText="0" indent="1"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Calibri"/>
        <scheme val="minor"/>
      </font>
      <numFmt numFmtId="171" formatCode="dd/mm/yy;@"/>
      <fill>
        <patternFill patternType="none">
          <fgColor indexed="64"/>
          <bgColor indexed="65"/>
        </patternFill>
      </fill>
      <alignment horizontal="left" vertical="bottom" textRotation="0" wrapText="0" indent="1" justifyLastLine="0" shrinkToFit="0" readingOrder="0"/>
      <border diagonalUp="0" diagonalDown="0">
        <left/>
        <right style="thin">
          <color auto="1"/>
        </right>
        <top style="thin">
          <color auto="1"/>
        </top>
        <bottom style="thin">
          <color auto="1"/>
        </bottom>
      </border>
      <protection locked="0" hidden="0"/>
    </dxf>
    <dxf>
      <border outline="0">
        <left style="medium">
          <color auto="1"/>
        </left>
        <right style="medium">
          <color auto="1"/>
        </right>
        <top style="medium">
          <color auto="1"/>
        </top>
        <bottom style="medium">
          <color auto="1"/>
        </bottom>
      </border>
    </dxf>
    <dxf>
      <protection locked="0" hidden="0"/>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6795556505021"/>
        </patternFill>
      </fill>
      <alignment horizontal="left" vertical="center" textRotation="0" wrapText="0" indent="1" justifyLastLine="0" shrinkToFit="0" readingOrder="0"/>
      <border diagonalUp="0" diagonalDown="0">
        <left style="thin">
          <color auto="1"/>
        </left>
        <right style="thin">
          <color auto="1"/>
        </right>
        <top/>
        <bottom/>
      </border>
      <protection locked="1" hidden="0"/>
    </dxf>
    <dxf>
      <fill>
        <patternFill>
          <bgColor rgb="FFFFFFCC"/>
        </patternFill>
      </fill>
    </dxf>
    <dxf>
      <fill>
        <patternFill>
          <bgColor rgb="FFFFFFCC"/>
        </patternFill>
      </fill>
    </dxf>
    <dxf>
      <fill>
        <patternFill>
          <bgColor rgb="FFFFFFCC"/>
        </patternFill>
      </fill>
    </dxf>
    <dxf>
      <font>
        <b/>
        <i val="0"/>
      </font>
      <fill>
        <patternFill>
          <bgColor rgb="FFFFFFCC"/>
        </patternFill>
      </fill>
    </dxf>
    <dxf>
      <font>
        <b/>
        <i val="0"/>
      </font>
      <fill>
        <patternFill>
          <bgColor rgb="FFFFFFCC"/>
        </patternFill>
      </fill>
    </dxf>
    <dxf>
      <font>
        <b/>
        <i val="0"/>
      </font>
      <fill>
        <patternFill>
          <bgColor rgb="FFFFFFCC"/>
        </patternFill>
      </fill>
    </dxf>
    <dxf>
      <font>
        <color rgb="FFFF0000"/>
      </font>
      <border>
        <left style="thin">
          <color rgb="FFFF0000"/>
        </left>
        <right style="thin">
          <color rgb="FFFF0000"/>
        </right>
        <top style="thin">
          <color rgb="FFFF0000"/>
        </top>
        <bottom style="thin">
          <color rgb="FFFF0000"/>
        </bottom>
        <vertical/>
        <horizontal/>
      </border>
    </dxf>
    <dxf>
      <font>
        <b val="0"/>
        <i val="0"/>
        <strike val="0"/>
        <color theme="0" tint="-0.24994659260841701"/>
      </font>
      <fill>
        <patternFill>
          <bgColor theme="3" tint="0.79998168889431442"/>
        </patternFill>
      </fill>
    </dxf>
    <dxf>
      <font>
        <b val="0"/>
        <i val="0"/>
        <strike val="0"/>
        <color theme="0" tint="-0.24994659260841701"/>
      </font>
      <fill>
        <patternFill>
          <bgColor theme="3" tint="0.79998168889431442"/>
        </patternFill>
      </fill>
    </dxf>
  </dxfs>
  <tableStyles count="1" defaultTableStyle="TableStyleMedium2" defaultPivotStyle="PivotStyleLight16">
    <tableStyle name="Einfache Tabelle mit grauem Kopf" pivot="0" count="0"/>
  </tableStyles>
  <colors>
    <mruColors>
      <color rgb="FFFFFFCC"/>
      <color rgb="FFF8F8F8"/>
      <color rgb="FF00863D"/>
      <color rgb="FFDA7200"/>
      <color rgb="FFDAB2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7620</xdr:rowOff>
        </xdr:from>
        <xdr:to>
          <xdr:col>10</xdr:col>
          <xdr:colOff>480060</xdr:colOff>
          <xdr:row>38</xdr:row>
          <xdr:rowOff>1143000</xdr:rowOff>
        </xdr:to>
        <xdr:sp macro="" textlink="">
          <xdr:nvSpPr>
            <xdr:cNvPr id="1077" name="TextBox_Anmerkungen" hidden="1">
              <a:extLst>
                <a:ext uri="{63B3BB69-23CF-44E3-9099-C40C66FF867C}">
                  <a14:compatExt spid="_x0000_s107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editAs="absolute">
    <xdr:from>
      <xdr:col>7</xdr:col>
      <xdr:colOff>13061</xdr:colOff>
      <xdr:row>19</xdr:row>
      <xdr:rowOff>718887</xdr:rowOff>
    </xdr:from>
    <xdr:to>
      <xdr:col>11</xdr:col>
      <xdr:colOff>127561</xdr:colOff>
      <xdr:row>34</xdr:row>
      <xdr:rowOff>839228</xdr:rowOff>
    </xdr:to>
    <xdr:grpSp>
      <xdr:nvGrpSpPr>
        <xdr:cNvPr id="9" name="Pseudo-Dropdown-Pfeile" hidden="1"/>
        <xdr:cNvGrpSpPr/>
      </xdr:nvGrpSpPr>
      <xdr:grpSpPr>
        <a:xfrm>
          <a:off x="7776496" y="4403381"/>
          <a:ext cx="2140524" cy="7067988"/>
          <a:chOff x="7713017" y="3375660"/>
          <a:chExt cx="2141420" cy="7094882"/>
        </a:xfrm>
      </xdr:grpSpPr>
      <xdr:grpSp>
        <xdr:nvGrpSpPr>
          <xdr:cNvPr id="5" name="Gruppieren 4"/>
          <xdr:cNvGrpSpPr/>
        </xdr:nvGrpSpPr>
        <xdr:grpSpPr>
          <a:xfrm>
            <a:off x="7713017" y="4770120"/>
            <a:ext cx="2141420" cy="115956"/>
            <a:chOff x="7714342" y="4770783"/>
            <a:chExt cx="2142083" cy="115956"/>
          </a:xfrm>
        </xdr:grpSpPr>
        <xdr:grpSp>
          <xdr:nvGrpSpPr>
            <xdr:cNvPr id="4" name="Gruppieren 3"/>
            <xdr:cNvGrpSpPr/>
          </xdr:nvGrpSpPr>
          <xdr:grpSpPr>
            <a:xfrm>
              <a:off x="7714342" y="4770783"/>
              <a:ext cx="114499" cy="115956"/>
              <a:chOff x="11597641" y="8345645"/>
              <a:chExt cx="90000" cy="90000"/>
            </a:xfrm>
          </xdr:grpSpPr>
          <xdr:sp macro="" textlink="">
            <xdr:nvSpPr>
              <xdr:cNvPr id="2" name="Rechteck 1"/>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 name="Gleichschenkliges Dreieck 2"/>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6" name="Gruppieren 5"/>
            <xdr:cNvGrpSpPr/>
          </xdr:nvGrpSpPr>
          <xdr:grpSpPr>
            <a:xfrm>
              <a:off x="9741926" y="4770783"/>
              <a:ext cx="114499" cy="115956"/>
              <a:chOff x="11597641" y="8345645"/>
              <a:chExt cx="90000" cy="90000"/>
            </a:xfrm>
          </xdr:grpSpPr>
          <xdr:sp macro="" textlink="">
            <xdr:nvSpPr>
              <xdr:cNvPr id="7" name="Rechteck 6"/>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Gleichschenkliges Dreieck 7"/>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0" name="Gruppieren 9"/>
          <xdr:cNvGrpSpPr/>
        </xdr:nvGrpSpPr>
        <xdr:grpSpPr>
          <a:xfrm>
            <a:off x="7713017" y="6171206"/>
            <a:ext cx="2141420" cy="115956"/>
            <a:chOff x="7714342" y="4770783"/>
            <a:chExt cx="2142083" cy="115956"/>
          </a:xfrm>
        </xdr:grpSpPr>
        <xdr:grpSp>
          <xdr:nvGrpSpPr>
            <xdr:cNvPr id="11" name="Gruppieren 10"/>
            <xdr:cNvGrpSpPr/>
          </xdr:nvGrpSpPr>
          <xdr:grpSpPr>
            <a:xfrm>
              <a:off x="7714342" y="4770783"/>
              <a:ext cx="114499" cy="115956"/>
              <a:chOff x="11597641" y="8345645"/>
              <a:chExt cx="90000" cy="90000"/>
            </a:xfrm>
          </xdr:grpSpPr>
          <xdr:sp macro="" textlink="">
            <xdr:nvSpPr>
              <xdr:cNvPr id="15" name="Rechteck 14"/>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6" name="Gleichschenkliges Dreieck 15"/>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2" name="Gruppieren 11"/>
            <xdr:cNvGrpSpPr/>
          </xdr:nvGrpSpPr>
          <xdr:grpSpPr>
            <a:xfrm>
              <a:off x="9741926" y="4770783"/>
              <a:ext cx="114499" cy="115956"/>
              <a:chOff x="11597641" y="8345645"/>
              <a:chExt cx="90000" cy="90000"/>
            </a:xfrm>
          </xdr:grpSpPr>
          <xdr:sp macro="" textlink="">
            <xdr:nvSpPr>
              <xdr:cNvPr id="13" name="Rechteck 12"/>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 name="Gleichschenkliges Dreieck 13"/>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17" name="Gruppieren 16"/>
          <xdr:cNvGrpSpPr/>
        </xdr:nvGrpSpPr>
        <xdr:grpSpPr>
          <a:xfrm>
            <a:off x="7713017" y="7565667"/>
            <a:ext cx="2141420" cy="115956"/>
            <a:chOff x="7714342" y="4770783"/>
            <a:chExt cx="2142083" cy="115956"/>
          </a:xfrm>
        </xdr:grpSpPr>
        <xdr:grpSp>
          <xdr:nvGrpSpPr>
            <xdr:cNvPr id="18" name="Gruppieren 17"/>
            <xdr:cNvGrpSpPr/>
          </xdr:nvGrpSpPr>
          <xdr:grpSpPr>
            <a:xfrm>
              <a:off x="7714342" y="4770783"/>
              <a:ext cx="114499" cy="115956"/>
              <a:chOff x="11597641" y="8345645"/>
              <a:chExt cx="90000" cy="90000"/>
            </a:xfrm>
          </xdr:grpSpPr>
          <xdr:sp macro="" textlink="">
            <xdr:nvSpPr>
              <xdr:cNvPr id="22" name="Rechteck 21"/>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3" name="Gleichschenkliges Dreieck 22"/>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19" name="Gruppieren 18"/>
            <xdr:cNvGrpSpPr/>
          </xdr:nvGrpSpPr>
          <xdr:grpSpPr>
            <a:xfrm>
              <a:off x="9741926" y="4770783"/>
              <a:ext cx="114499" cy="115956"/>
              <a:chOff x="11597641" y="8345645"/>
              <a:chExt cx="90000" cy="90000"/>
            </a:xfrm>
          </xdr:grpSpPr>
          <xdr:sp macro="" textlink="">
            <xdr:nvSpPr>
              <xdr:cNvPr id="20" name="Rechteck 19"/>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1" name="Gleichschenkliges Dreieck 20"/>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24" name="Gruppieren 23"/>
          <xdr:cNvGrpSpPr/>
        </xdr:nvGrpSpPr>
        <xdr:grpSpPr>
          <a:xfrm>
            <a:off x="7713017" y="8953500"/>
            <a:ext cx="2141420" cy="115956"/>
            <a:chOff x="7714342" y="4770783"/>
            <a:chExt cx="2142083" cy="115956"/>
          </a:xfrm>
        </xdr:grpSpPr>
        <xdr:grpSp>
          <xdr:nvGrpSpPr>
            <xdr:cNvPr id="25" name="Gruppieren 24"/>
            <xdr:cNvGrpSpPr/>
          </xdr:nvGrpSpPr>
          <xdr:grpSpPr>
            <a:xfrm>
              <a:off x="7714342" y="4770783"/>
              <a:ext cx="114499" cy="115956"/>
              <a:chOff x="11597641" y="8345645"/>
              <a:chExt cx="90000" cy="90000"/>
            </a:xfrm>
          </xdr:grpSpPr>
          <xdr:sp macro="" textlink="">
            <xdr:nvSpPr>
              <xdr:cNvPr id="29" name="Rechteck 28"/>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0" name="Gleichschenkliges Dreieck 29"/>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26" name="Gruppieren 25"/>
            <xdr:cNvGrpSpPr/>
          </xdr:nvGrpSpPr>
          <xdr:grpSpPr>
            <a:xfrm>
              <a:off x="9741926" y="4770783"/>
              <a:ext cx="114499" cy="115956"/>
              <a:chOff x="11597641" y="8345645"/>
              <a:chExt cx="90000" cy="90000"/>
            </a:xfrm>
          </xdr:grpSpPr>
          <xdr:sp macro="" textlink="">
            <xdr:nvSpPr>
              <xdr:cNvPr id="27" name="Rechteck 26"/>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8" name="Gleichschenkliges Dreieck 27"/>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31" name="Gruppieren 30"/>
          <xdr:cNvGrpSpPr/>
        </xdr:nvGrpSpPr>
        <xdr:grpSpPr>
          <a:xfrm>
            <a:off x="7713017" y="10354586"/>
            <a:ext cx="2141420" cy="115956"/>
            <a:chOff x="7714342" y="4770783"/>
            <a:chExt cx="2142083" cy="115956"/>
          </a:xfrm>
        </xdr:grpSpPr>
        <xdr:grpSp>
          <xdr:nvGrpSpPr>
            <xdr:cNvPr id="32" name="Gruppieren 31"/>
            <xdr:cNvGrpSpPr/>
          </xdr:nvGrpSpPr>
          <xdr:grpSpPr>
            <a:xfrm>
              <a:off x="7714342" y="4770783"/>
              <a:ext cx="114499" cy="115956"/>
              <a:chOff x="11597641" y="8345645"/>
              <a:chExt cx="90000" cy="90000"/>
            </a:xfrm>
          </xdr:grpSpPr>
          <xdr:sp macro="" textlink="">
            <xdr:nvSpPr>
              <xdr:cNvPr id="36" name="Rechteck 35"/>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7" name="Gleichschenkliges Dreieck 36"/>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33" name="Gruppieren 32"/>
            <xdr:cNvGrpSpPr/>
          </xdr:nvGrpSpPr>
          <xdr:grpSpPr>
            <a:xfrm>
              <a:off x="9741926" y="4770783"/>
              <a:ext cx="114499" cy="115956"/>
              <a:chOff x="11597641" y="8345645"/>
              <a:chExt cx="90000" cy="90000"/>
            </a:xfrm>
          </xdr:grpSpPr>
          <xdr:sp macro="" textlink="">
            <xdr:nvSpPr>
              <xdr:cNvPr id="34" name="Rechteck 33"/>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35" name="Gleichschenkliges Dreieck 34"/>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nvGrpSpPr>
          <xdr:cNvPr id="38" name="Gruppieren 37"/>
          <xdr:cNvGrpSpPr/>
        </xdr:nvGrpSpPr>
        <xdr:grpSpPr>
          <a:xfrm>
            <a:off x="7713017" y="3375660"/>
            <a:ext cx="2141420" cy="115956"/>
            <a:chOff x="7714342" y="4770783"/>
            <a:chExt cx="2142083" cy="115956"/>
          </a:xfrm>
        </xdr:grpSpPr>
        <xdr:grpSp>
          <xdr:nvGrpSpPr>
            <xdr:cNvPr id="39" name="Gruppieren 38"/>
            <xdr:cNvGrpSpPr/>
          </xdr:nvGrpSpPr>
          <xdr:grpSpPr>
            <a:xfrm>
              <a:off x="7714342" y="4770783"/>
              <a:ext cx="114499" cy="115956"/>
              <a:chOff x="11597641" y="8345645"/>
              <a:chExt cx="90000" cy="90000"/>
            </a:xfrm>
          </xdr:grpSpPr>
          <xdr:sp macro="" textlink="">
            <xdr:nvSpPr>
              <xdr:cNvPr id="43" name="Rechteck 42"/>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4" name="Gleichschenkliges Dreieck 43"/>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0" name="Gruppieren 39"/>
            <xdr:cNvGrpSpPr/>
          </xdr:nvGrpSpPr>
          <xdr:grpSpPr>
            <a:xfrm>
              <a:off x="9741926" y="4770783"/>
              <a:ext cx="114499" cy="115956"/>
              <a:chOff x="11597641" y="8345645"/>
              <a:chExt cx="90000" cy="90000"/>
            </a:xfrm>
          </xdr:grpSpPr>
          <xdr:sp macro="" textlink="">
            <xdr:nvSpPr>
              <xdr:cNvPr id="41" name="Rechteck 40"/>
              <xdr:cNvSpPr>
                <a:spLocks noChangeAspect="1"/>
              </xdr:cNvSpPr>
            </xdr:nvSpPr>
            <xdr:spPr>
              <a:xfrm>
                <a:off x="11597641" y="8345645"/>
                <a:ext cx="90000" cy="90000"/>
              </a:xfrm>
              <a:prstGeom prst="rect">
                <a:avLst/>
              </a:prstGeom>
              <a:solidFill>
                <a:srgbClr val="F8F8F8"/>
              </a:solidFill>
              <a:ln w="6350" cap="rnd">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2" name="Gleichschenkliges Dreieck 41"/>
              <xdr:cNvSpPr>
                <a:spLocks/>
              </xdr:cNvSpPr>
            </xdr:nvSpPr>
            <xdr:spPr>
              <a:xfrm flipV="1">
                <a:off x="11628747" y="8387923"/>
                <a:ext cx="36496" cy="16002"/>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clientData fPrintsWithSheet="0"/>
  </xdr:twoCellAnchor>
</xdr:wsDr>
</file>

<file path=xl/tables/table1.xml><?xml version="1.0" encoding="utf-8"?>
<table xmlns="http://schemas.openxmlformats.org/spreadsheetml/2006/main" id="1" name="Versions_Log" displayName="Versions_Log" ref="D4:G25" totalsRowShown="0" headerRowDxfId="7" dataDxfId="5" headerRowBorderDxfId="6" tableBorderDxfId="4">
  <tableColumns count="4">
    <tableColumn id="1" name="Datum " dataDxfId="3"/>
    <tableColumn id="2" name="Bearbeiter" dataDxfId="2"/>
    <tableColumn id="3" name="Versionsnummer nach Änderung" dataDxfId="1"/>
    <tableColumn id="4" name="Beschreibung" dataDxfId="0"/>
  </tableColumns>
  <tableStyleInfo name="Einfache Tabelle mit grauem Kopf"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ntrol" Target="../activeX/activeX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outlinePr showOutlineSymbols="0"/>
    <pageSetUpPr fitToPage="1"/>
  </sheetPr>
  <dimension ref="B1:Z41"/>
  <sheetViews>
    <sheetView showGridLines="0" tabSelected="1" showOutlineSymbols="0" zoomScale="85" zoomScaleNormal="85" workbookViewId="0">
      <selection activeCell="D6" sqref="D6:E6"/>
    </sheetView>
  </sheetViews>
  <sheetFormatPr baseColWidth="10" defaultColWidth="3.44140625" defaultRowHeight="18" x14ac:dyDescent="0.35"/>
  <cols>
    <col min="1" max="1" width="1.5546875" style="30" customWidth="1"/>
    <col min="2" max="2" width="2.109375" style="27" customWidth="1"/>
    <col min="3" max="3" width="18.33203125" style="28" customWidth="1"/>
    <col min="4" max="4" width="7.33203125" style="28" customWidth="1"/>
    <col min="5" max="5" width="43.44140625" style="29" customWidth="1"/>
    <col min="6" max="6" width="21.21875" style="29" customWidth="1"/>
    <col min="7" max="7" width="19.33203125" style="29" customWidth="1"/>
    <col min="8" max="9" width="2.21875" style="29" customWidth="1"/>
    <col min="10" max="10" width="17.88671875" style="29" customWidth="1"/>
    <col min="11" max="11" width="7.21875" style="30" customWidth="1"/>
    <col min="12" max="12" width="3.44140625" style="30" customWidth="1"/>
    <col min="13" max="16384" width="3.44140625" style="30"/>
  </cols>
  <sheetData>
    <row r="1" spans="2:12" ht="8.4" customHeight="1" thickBot="1" x14ac:dyDescent="0.4"/>
    <row r="2" spans="2:12" ht="9" customHeight="1" x14ac:dyDescent="0.35">
      <c r="B2" s="31"/>
      <c r="C2" s="222"/>
      <c r="D2" s="222"/>
      <c r="E2" s="222"/>
      <c r="F2" s="222"/>
      <c r="G2" s="222"/>
      <c r="H2" s="222"/>
      <c r="I2" s="222"/>
      <c r="J2" s="222"/>
      <c r="K2" s="222"/>
      <c r="L2" s="223"/>
    </row>
    <row r="3" spans="2:12" ht="23.4" customHeight="1" x14ac:dyDescent="0.35">
      <c r="B3" s="111"/>
      <c r="C3" s="236" t="s">
        <v>142</v>
      </c>
      <c r="D3" s="236"/>
      <c r="E3" s="236"/>
      <c r="F3" s="236"/>
      <c r="G3" s="236"/>
      <c r="H3" s="236"/>
      <c r="I3" s="236"/>
      <c r="J3" s="236"/>
      <c r="K3" s="236"/>
      <c r="L3" s="112"/>
    </row>
    <row r="4" spans="2:12" ht="24" customHeight="1" x14ac:dyDescent="0.35">
      <c r="B4" s="72"/>
      <c r="C4" s="237"/>
      <c r="D4" s="237"/>
      <c r="E4" s="237"/>
      <c r="F4" s="237"/>
      <c r="G4" s="237"/>
      <c r="H4" s="237"/>
      <c r="I4" s="237"/>
      <c r="J4" s="237"/>
      <c r="K4" s="237"/>
      <c r="L4" s="73"/>
    </row>
    <row r="5" spans="2:12" ht="9" customHeight="1" x14ac:dyDescent="0.35">
      <c r="B5" s="32"/>
      <c r="C5" s="33"/>
      <c r="D5" s="33"/>
      <c r="E5" s="34"/>
      <c r="F5" s="34"/>
      <c r="G5" s="34"/>
      <c r="H5" s="34"/>
      <c r="I5" s="34"/>
      <c r="J5" s="34"/>
      <c r="K5" s="45"/>
      <c r="L5" s="46"/>
    </row>
    <row r="6" spans="2:12" s="38" customFormat="1" ht="21" customHeight="1" x14ac:dyDescent="0.35">
      <c r="B6" s="35"/>
      <c r="C6" s="148" t="s">
        <v>6</v>
      </c>
      <c r="D6" s="224"/>
      <c r="E6" s="224"/>
      <c r="F6" s="195" t="s">
        <v>3</v>
      </c>
      <c r="G6" s="74"/>
      <c r="H6" s="40"/>
      <c r="I6" s="40"/>
      <c r="J6" s="145" t="s">
        <v>4</v>
      </c>
      <c r="K6" s="146">
        <f>P_proz</f>
        <v>0.82499999999999996</v>
      </c>
      <c r="L6" s="37"/>
    </row>
    <row r="7" spans="2:12" s="38" customFormat="1" ht="6.6" customHeight="1" x14ac:dyDescent="0.35">
      <c r="B7" s="35"/>
      <c r="C7" s="39"/>
      <c r="D7" s="39"/>
      <c r="E7" s="40"/>
      <c r="F7" s="196"/>
      <c r="G7" s="40"/>
      <c r="H7" s="40"/>
      <c r="I7" s="40"/>
      <c r="J7" s="147"/>
      <c r="K7" s="148"/>
      <c r="L7" s="41"/>
    </row>
    <row r="8" spans="2:12" s="38" customFormat="1" ht="21" customHeight="1" x14ac:dyDescent="0.35">
      <c r="B8" s="35"/>
      <c r="C8" s="148" t="s">
        <v>7</v>
      </c>
      <c r="D8" s="224"/>
      <c r="E8" s="224"/>
      <c r="F8" s="195" t="s">
        <v>0</v>
      </c>
      <c r="G8" s="74"/>
      <c r="H8" s="40"/>
      <c r="I8" s="40"/>
      <c r="J8" s="194" t="s">
        <v>5</v>
      </c>
      <c r="K8" s="149">
        <f>Notenvorschlag</f>
        <v>2</v>
      </c>
      <c r="L8" s="37"/>
    </row>
    <row r="9" spans="2:12" s="38" customFormat="1" ht="6.6" customHeight="1" x14ac:dyDescent="0.35">
      <c r="B9" s="35"/>
      <c r="C9" s="39"/>
      <c r="D9" s="39"/>
      <c r="E9" s="40"/>
      <c r="F9" s="196"/>
      <c r="G9" s="40"/>
      <c r="H9" s="40"/>
      <c r="I9" s="40"/>
      <c r="J9" s="147"/>
      <c r="K9" s="36"/>
      <c r="L9" s="41"/>
    </row>
    <row r="10" spans="2:12" s="38" customFormat="1" ht="21" customHeight="1" x14ac:dyDescent="0.35">
      <c r="B10" s="35"/>
      <c r="C10" s="148" t="s">
        <v>2</v>
      </c>
      <c r="D10" s="224"/>
      <c r="E10" s="224"/>
      <c r="F10" s="195" t="s">
        <v>8</v>
      </c>
      <c r="G10" s="74" t="s">
        <v>126</v>
      </c>
      <c r="H10" s="40"/>
      <c r="I10" s="40"/>
      <c r="J10" s="145" t="s">
        <v>18</v>
      </c>
      <c r="K10" s="87" t="s">
        <v>19</v>
      </c>
      <c r="L10" s="37"/>
    </row>
    <row r="11" spans="2:12" s="38" customFormat="1" ht="6.6" customHeight="1" x14ac:dyDescent="0.35">
      <c r="B11" s="35"/>
      <c r="C11" s="39"/>
      <c r="D11" s="39"/>
      <c r="E11" s="40"/>
      <c r="F11" s="40"/>
      <c r="G11" s="40"/>
      <c r="H11" s="40"/>
      <c r="I11" s="40"/>
      <c r="J11" s="36"/>
      <c r="K11" s="36"/>
      <c r="L11" s="41"/>
    </row>
    <row r="12" spans="2:12" s="38" customFormat="1" ht="21" customHeight="1" x14ac:dyDescent="0.35">
      <c r="B12" s="35"/>
      <c r="C12" s="227" t="s">
        <v>1</v>
      </c>
      <c r="D12" s="225"/>
      <c r="E12" s="225"/>
      <c r="F12" s="225"/>
      <c r="G12" s="225"/>
      <c r="H12" s="40"/>
      <c r="I12" s="40"/>
      <c r="J12" s="216" t="str">
        <f>"Endnote (" &amp; IF(Bewertungstyp=1,"0-3-7","Dezimal") &amp; ")"</f>
        <v>Endnote (0-3-7)</v>
      </c>
      <c r="K12" s="217"/>
      <c r="L12" s="37"/>
    </row>
    <row r="13" spans="2:12" s="38" customFormat="1" ht="18" customHeight="1" x14ac:dyDescent="0.35">
      <c r="B13" s="35"/>
      <c r="C13" s="227"/>
      <c r="D13" s="225"/>
      <c r="E13" s="225"/>
      <c r="F13" s="225"/>
      <c r="G13" s="225"/>
      <c r="H13" s="40"/>
      <c r="I13" s="40"/>
      <c r="J13" s="218">
        <f>Endnote_Gutachten</f>
        <v>2</v>
      </c>
      <c r="K13" s="219"/>
      <c r="L13" s="41"/>
    </row>
    <row r="14" spans="2:12" s="38" customFormat="1" ht="18" customHeight="1" x14ac:dyDescent="0.35">
      <c r="B14" s="35"/>
      <c r="C14" s="227"/>
      <c r="D14" s="226"/>
      <c r="E14" s="226"/>
      <c r="F14" s="226"/>
      <c r="G14" s="226"/>
      <c r="H14" s="40"/>
      <c r="I14" s="40"/>
      <c r="J14" s="220"/>
      <c r="K14" s="221"/>
      <c r="L14" s="37"/>
    </row>
    <row r="15" spans="2:12" s="38" customFormat="1" ht="12" customHeight="1" x14ac:dyDescent="0.35">
      <c r="B15" s="42"/>
      <c r="C15" s="43"/>
      <c r="D15" s="43"/>
      <c r="E15" s="44"/>
      <c r="F15" s="44"/>
      <c r="G15" s="44"/>
      <c r="H15" s="44"/>
      <c r="I15" s="44"/>
      <c r="J15" s="75"/>
      <c r="K15" s="75"/>
      <c r="L15" s="41"/>
    </row>
    <row r="16" spans="2:12" ht="12" customHeight="1" x14ac:dyDescent="0.35">
      <c r="B16" s="201"/>
      <c r="C16" s="202"/>
      <c r="D16" s="202"/>
      <c r="E16" s="202"/>
      <c r="F16" s="202"/>
      <c r="G16" s="202"/>
      <c r="H16" s="202"/>
      <c r="I16" s="202"/>
      <c r="J16" s="203"/>
      <c r="K16" s="203"/>
      <c r="L16" s="204"/>
    </row>
    <row r="17" spans="2:26" s="49" customFormat="1" ht="21" x14ac:dyDescent="0.3">
      <c r="B17" s="47"/>
      <c r="C17" s="215" t="s">
        <v>143</v>
      </c>
      <c r="D17" s="215"/>
      <c r="E17" s="215"/>
      <c r="F17" s="88" t="s">
        <v>57</v>
      </c>
      <c r="G17" s="23"/>
      <c r="H17" s="23"/>
      <c r="I17" s="23"/>
      <c r="J17" s="211" t="s">
        <v>144</v>
      </c>
      <c r="K17" s="211"/>
      <c r="L17" s="48"/>
    </row>
    <row r="18" spans="2:26" s="49" customFormat="1" ht="10.95" customHeight="1" x14ac:dyDescent="0.3">
      <c r="B18" s="47"/>
      <c r="C18" s="21"/>
      <c r="D18" s="20"/>
      <c r="E18" s="22"/>
      <c r="F18" s="22"/>
      <c r="G18" s="22"/>
      <c r="H18" s="22"/>
      <c r="I18" s="22"/>
      <c r="J18" s="22"/>
      <c r="K18" s="24"/>
      <c r="L18" s="48"/>
    </row>
    <row r="19" spans="2:26" s="49" customFormat="1" ht="19.95" customHeight="1" x14ac:dyDescent="0.3">
      <c r="B19" s="47"/>
      <c r="C19" s="214" t="str">
        <f>Kriterium1</f>
        <v xml:space="preserve">Analyse der Aufgabenstellung
</v>
      </c>
      <c r="D19" s="214"/>
      <c r="E19" s="214"/>
      <c r="F19" s="50">
        <f>INDEX('Texte und Punkte'!O5:S5,1,Typnummer_Arbeit)/100</f>
        <v>0.2</v>
      </c>
      <c r="G19" s="22"/>
      <c r="H19" s="22"/>
      <c r="I19" s="22"/>
      <c r="J19" s="22"/>
      <c r="K19" s="24"/>
      <c r="L19" s="48"/>
    </row>
    <row r="20" spans="2:26" s="49" customFormat="1" ht="75" customHeight="1" x14ac:dyDescent="0.3">
      <c r="B20" s="25"/>
      <c r="C20" s="208" t="s">
        <v>70</v>
      </c>
      <c r="D20" s="209"/>
      <c r="E20" s="209"/>
      <c r="F20" s="209"/>
      <c r="G20" s="210"/>
      <c r="H20" s="21"/>
      <c r="I20" s="21"/>
      <c r="J20" s="212" t="s">
        <v>54</v>
      </c>
      <c r="K20" s="213"/>
      <c r="L20" s="48"/>
      <c r="P20" s="51"/>
      <c r="Z20" s="193"/>
    </row>
    <row r="21" spans="2:26" s="49" customFormat="1" ht="15" customHeight="1" x14ac:dyDescent="0.3">
      <c r="B21" s="52"/>
      <c r="C21" s="205"/>
      <c r="D21" s="205"/>
      <c r="E21" s="205"/>
      <c r="F21" s="205"/>
      <c r="G21" s="205"/>
      <c r="H21" s="205"/>
      <c r="I21" s="205"/>
      <c r="J21" s="205"/>
      <c r="K21" s="205"/>
      <c r="L21" s="206"/>
    </row>
    <row r="22" spans="2:26" s="49" customFormat="1" ht="19.95" customHeight="1" x14ac:dyDescent="0.3">
      <c r="B22" s="52"/>
      <c r="C22" s="207" t="str">
        <f>Kriterium2</f>
        <v xml:space="preserve">Ableitung der Lösung, Erfassung des IST-Standes
</v>
      </c>
      <c r="D22" s="207"/>
      <c r="E22" s="207"/>
      <c r="F22" s="50">
        <f>INDEX('Texte und Punkte'!O10:S10,1,Typnummer_Arbeit)/100</f>
        <v>0.1</v>
      </c>
      <c r="G22" s="22"/>
      <c r="H22" s="22"/>
      <c r="I22" s="22"/>
      <c r="J22" s="22"/>
      <c r="K22" s="53"/>
      <c r="L22" s="54"/>
    </row>
    <row r="23" spans="2:26" s="49" customFormat="1" ht="75" customHeight="1" x14ac:dyDescent="0.3">
      <c r="B23" s="25"/>
      <c r="C23" s="208" t="s">
        <v>74</v>
      </c>
      <c r="D23" s="209"/>
      <c r="E23" s="209"/>
      <c r="F23" s="209"/>
      <c r="G23" s="210"/>
      <c r="H23" s="21"/>
      <c r="I23" s="21"/>
      <c r="J23" s="212" t="s">
        <v>53</v>
      </c>
      <c r="K23" s="213"/>
      <c r="L23" s="48"/>
    </row>
    <row r="24" spans="2:26" s="49" customFormat="1" ht="15" customHeight="1" x14ac:dyDescent="0.3">
      <c r="B24" s="52"/>
      <c r="C24" s="205"/>
      <c r="D24" s="205"/>
      <c r="E24" s="205"/>
      <c r="F24" s="205"/>
      <c r="G24" s="205"/>
      <c r="H24" s="205"/>
      <c r="I24" s="205"/>
      <c r="J24" s="205"/>
      <c r="K24" s="205"/>
      <c r="L24" s="206"/>
    </row>
    <row r="25" spans="2:26" s="49" customFormat="1" ht="19.95" customHeight="1" x14ac:dyDescent="0.3">
      <c r="B25" s="52"/>
      <c r="C25" s="207" t="str">
        <f>Kriterium3</f>
        <v>Systematik, Methodeneinsatz, Fachkenntnisse</v>
      </c>
      <c r="D25" s="207"/>
      <c r="E25" s="207"/>
      <c r="F25" s="50">
        <f>INDEX('Texte und Punkte'!O15:S15,1,Typnummer_Arbeit)/100</f>
        <v>0.25</v>
      </c>
      <c r="G25" s="22"/>
      <c r="H25" s="22"/>
      <c r="I25" s="22"/>
      <c r="J25" s="22"/>
      <c r="K25" s="53"/>
      <c r="L25" s="54"/>
    </row>
    <row r="26" spans="2:26" s="49" customFormat="1" ht="75" customHeight="1" x14ac:dyDescent="0.3">
      <c r="B26" s="25"/>
      <c r="C26" s="208" t="s">
        <v>79</v>
      </c>
      <c r="D26" s="209"/>
      <c r="E26" s="209"/>
      <c r="F26" s="209"/>
      <c r="G26" s="210"/>
      <c r="H26" s="21"/>
      <c r="I26" s="21"/>
      <c r="J26" s="212" t="s">
        <v>53</v>
      </c>
      <c r="K26" s="213"/>
      <c r="L26" s="48"/>
    </row>
    <row r="27" spans="2:26" s="49" customFormat="1" ht="15" customHeight="1" x14ac:dyDescent="0.3">
      <c r="B27" s="52"/>
      <c r="C27" s="205"/>
      <c r="D27" s="205"/>
      <c r="E27" s="205"/>
      <c r="F27" s="205"/>
      <c r="G27" s="205"/>
      <c r="H27" s="205"/>
      <c r="I27" s="205"/>
      <c r="J27" s="205"/>
      <c r="K27" s="205"/>
      <c r="L27" s="206"/>
    </row>
    <row r="28" spans="2:26" s="49" customFormat="1" ht="19.95" customHeight="1" x14ac:dyDescent="0.3">
      <c r="B28" s="52"/>
      <c r="C28" s="207" t="str">
        <f>Kriterium4</f>
        <v>fachliche Bearbeitung, Erreichung der Zielsetzung</v>
      </c>
      <c r="D28" s="207"/>
      <c r="E28" s="207"/>
      <c r="F28" s="50">
        <f>INDEX('Texte und Punkte'!O20:S20,1,Typnummer_Arbeit)/100</f>
        <v>0.2</v>
      </c>
      <c r="G28" s="22"/>
      <c r="H28" s="22"/>
      <c r="I28" s="22"/>
      <c r="J28" s="22"/>
      <c r="K28" s="53"/>
      <c r="L28" s="54"/>
    </row>
    <row r="29" spans="2:26" s="49" customFormat="1" ht="75" customHeight="1" x14ac:dyDescent="0.3">
      <c r="B29" s="25"/>
      <c r="C29" s="208" t="s">
        <v>85</v>
      </c>
      <c r="D29" s="209"/>
      <c r="E29" s="209"/>
      <c r="F29" s="209"/>
      <c r="G29" s="210"/>
      <c r="H29" s="21"/>
      <c r="I29" s="21"/>
      <c r="J29" s="212" t="s">
        <v>54</v>
      </c>
      <c r="K29" s="213"/>
      <c r="L29" s="48"/>
    </row>
    <row r="30" spans="2:26" s="49" customFormat="1" ht="15" customHeight="1" x14ac:dyDescent="0.3">
      <c r="B30" s="52"/>
      <c r="C30" s="205"/>
      <c r="D30" s="205"/>
      <c r="E30" s="205"/>
      <c r="F30" s="205"/>
      <c r="G30" s="205"/>
      <c r="H30" s="205"/>
      <c r="I30" s="205"/>
      <c r="J30" s="205"/>
      <c r="K30" s="205"/>
      <c r="L30" s="206"/>
    </row>
    <row r="31" spans="2:26" s="49" customFormat="1" ht="19.95" customHeight="1" x14ac:dyDescent="0.3">
      <c r="B31" s="52"/>
      <c r="C31" s="207" t="str">
        <f>Kriterium5</f>
        <v>Dokumentation, Sorgfalt</v>
      </c>
      <c r="D31" s="207"/>
      <c r="E31" s="207"/>
      <c r="F31" s="50">
        <f>INDEX('Texte und Punkte'!O25:S25,1,Typnummer_Arbeit)/100</f>
        <v>0.15</v>
      </c>
      <c r="G31" s="22"/>
      <c r="H31" s="22"/>
      <c r="I31" s="22"/>
      <c r="J31" s="22"/>
      <c r="K31" s="53"/>
      <c r="L31" s="54"/>
    </row>
    <row r="32" spans="2:26" s="49" customFormat="1" ht="75" customHeight="1" x14ac:dyDescent="0.3">
      <c r="B32" s="25"/>
      <c r="C32" s="208" t="s">
        <v>90</v>
      </c>
      <c r="D32" s="209"/>
      <c r="E32" s="209"/>
      <c r="F32" s="209"/>
      <c r="G32" s="210"/>
      <c r="H32" s="21"/>
      <c r="I32" s="21"/>
      <c r="J32" s="212" t="s">
        <v>56</v>
      </c>
      <c r="K32" s="213"/>
      <c r="L32" s="48"/>
    </row>
    <row r="33" spans="2:12" s="49" customFormat="1" ht="15" customHeight="1" x14ac:dyDescent="0.3">
      <c r="B33" s="52"/>
      <c r="C33" s="205"/>
      <c r="D33" s="205"/>
      <c r="E33" s="205"/>
      <c r="F33" s="205"/>
      <c r="G33" s="205"/>
      <c r="H33" s="205"/>
      <c r="I33" s="205"/>
      <c r="J33" s="205"/>
      <c r="K33" s="205"/>
      <c r="L33" s="206"/>
    </row>
    <row r="34" spans="2:12" s="49" customFormat="1" ht="19.95" customHeight="1" x14ac:dyDescent="0.3">
      <c r="B34" s="52"/>
      <c r="C34" s="207" t="str">
        <f>Kriterium6</f>
        <v>Eigeninitiative, Selbständigkeit</v>
      </c>
      <c r="D34" s="207"/>
      <c r="E34" s="207"/>
      <c r="F34" s="50">
        <f>INDEX('Texte und Punkte'!O30:S30,1,Typnummer_Arbeit)/100</f>
        <v>0.1</v>
      </c>
      <c r="G34" s="22"/>
      <c r="H34" s="22"/>
      <c r="I34" s="22"/>
      <c r="J34" s="22"/>
      <c r="K34" s="53"/>
      <c r="L34" s="54"/>
    </row>
    <row r="35" spans="2:12" s="49" customFormat="1" ht="75" customHeight="1" x14ac:dyDescent="0.3">
      <c r="B35" s="55"/>
      <c r="C35" s="208" t="s">
        <v>94</v>
      </c>
      <c r="D35" s="209"/>
      <c r="E35" s="209"/>
      <c r="F35" s="209"/>
      <c r="G35" s="210"/>
      <c r="H35" s="21"/>
      <c r="I35" s="21"/>
      <c r="J35" s="212" t="s">
        <v>53</v>
      </c>
      <c r="K35" s="213"/>
      <c r="L35" s="48"/>
    </row>
    <row r="36" spans="2:12" ht="18.600000000000001" thickBot="1" x14ac:dyDescent="0.4">
      <c r="B36" s="233"/>
      <c r="C36" s="234"/>
      <c r="D36" s="234"/>
      <c r="E36" s="234"/>
      <c r="F36" s="234"/>
      <c r="G36" s="234"/>
      <c r="H36" s="234"/>
      <c r="I36" s="234"/>
      <c r="J36" s="234"/>
      <c r="K36" s="234"/>
      <c r="L36" s="235"/>
    </row>
    <row r="37" spans="2:12" ht="22.8" customHeight="1" x14ac:dyDescent="0.35">
      <c r="B37" s="229" t="s">
        <v>105</v>
      </c>
      <c r="C37" s="230"/>
      <c r="D37" s="230"/>
      <c r="E37" s="231" t="str">
        <f>IF('Daten und Berechnung'!C11='Daten und Berechnung'!O12,'Daten und Berechnung'!Q4,'Daten und Berechnung'!Q3)</f>
        <v xml:space="preserve"> </v>
      </c>
      <c r="F37" s="231"/>
      <c r="G37" s="231"/>
      <c r="H37" s="231"/>
      <c r="I37" s="231"/>
      <c r="J37" s="231"/>
      <c r="K37" s="231"/>
      <c r="L37" s="232"/>
    </row>
    <row r="38" spans="2:12" ht="369.6" customHeight="1" x14ac:dyDescent="0.35">
      <c r="B38" s="56"/>
      <c r="C38" s="57"/>
      <c r="D38" s="57"/>
      <c r="E38" s="57"/>
      <c r="F38" s="57"/>
      <c r="G38" s="57"/>
      <c r="H38" s="57"/>
      <c r="I38" s="57"/>
      <c r="J38" s="57"/>
      <c r="K38" s="57"/>
      <c r="L38" s="58"/>
    </row>
    <row r="39" spans="2:12" ht="123" customHeight="1" thickBot="1" x14ac:dyDescent="0.4">
      <c r="B39" s="47"/>
      <c r="C39" s="107"/>
      <c r="D39" s="107"/>
      <c r="E39" s="108"/>
      <c r="F39" s="108"/>
      <c r="G39" s="108"/>
      <c r="H39" s="108"/>
      <c r="I39" s="108"/>
      <c r="J39" s="109"/>
      <c r="K39" s="109"/>
      <c r="L39" s="110"/>
    </row>
    <row r="40" spans="2:12" ht="19.8" customHeight="1" x14ac:dyDescent="0.35">
      <c r="B40" s="47"/>
      <c r="C40" s="222" t="s">
        <v>114</v>
      </c>
      <c r="D40" s="222"/>
      <c r="E40" s="108"/>
      <c r="F40" s="108"/>
      <c r="G40" s="228" t="s">
        <v>115</v>
      </c>
      <c r="H40" s="228"/>
      <c r="I40" s="228"/>
      <c r="J40" s="228"/>
      <c r="K40" s="109"/>
      <c r="L40" s="110"/>
    </row>
    <row r="41" spans="2:12" s="62" customFormat="1" ht="21.6" customHeight="1" thickBot="1" x14ac:dyDescent="0.4">
      <c r="B41" s="59"/>
      <c r="C41" s="71" t="str">
        <f ca="1">"Datei: " &amp; Dateiname &amp; "                     (Studiengang Maschinenbau, Version: " &amp; Dateiversion &amp; ", Stand: " &amp; TEXT(Dateidatum,"T.M.JJ") &amp; ")"</f>
        <v>Datei: Beurteilungsbogen SG-MB (v1.3).xlsx                     (Studiengang Maschinenbau, Version: 1.3, Stand: 14.9.20)</v>
      </c>
      <c r="D41" s="60"/>
      <c r="E41" s="60"/>
      <c r="F41" s="60"/>
      <c r="G41" s="60"/>
      <c r="H41" s="60"/>
      <c r="I41" s="60"/>
      <c r="J41" s="60"/>
      <c r="K41" s="60"/>
      <c r="L41" s="61"/>
    </row>
  </sheetData>
  <sheetProtection algorithmName="SHA-512" hashValue="m1aoRWJi63JoKHvDruG9SoXKySfxgx36OkKv0jYGMziD/WG0v7Mi3VcQnf80N5kTR2shc93P91TVHs8s7IuLGg==" saltValue="UzMEUiTAkbiWxd/Y1lyC/w==" spinCount="100000" sheet="1" objects="1" scenarios="1" selectLockedCells="1"/>
  <dataConsolidate/>
  <customSheetViews>
    <customSheetView guid="{F624DE42-7366-4D05-A22F-FFE42B7DDA87}" scale="95" showGridLines="0" fitToPage="1">
      <selection activeCell="I5" sqref="I5"/>
      <pageMargins left="0.70866141732283472" right="0.70866141732283472" top="1.8110236220472442" bottom="0.78740157480314965" header="0.9055118110236221" footer="0.31496062992125984"/>
      <pageSetup paperSize="9" scale="67" orientation="landscape" blackAndWhite="1" verticalDpi="0" r:id="rId1"/>
      <headerFooter>
        <oddHeader>&amp;R&amp;G</oddHeader>
      </headerFooter>
    </customSheetView>
  </customSheetViews>
  <mergeCells count="41">
    <mergeCell ref="C33:L33"/>
    <mergeCell ref="C35:G35"/>
    <mergeCell ref="C34:E34"/>
    <mergeCell ref="C3:K3"/>
    <mergeCell ref="C4:K4"/>
    <mergeCell ref="C29:G29"/>
    <mergeCell ref="C32:G32"/>
    <mergeCell ref="C23:G23"/>
    <mergeCell ref="C26:G26"/>
    <mergeCell ref="C30:L30"/>
    <mergeCell ref="C28:E28"/>
    <mergeCell ref="C31:E31"/>
    <mergeCell ref="J23:K23"/>
    <mergeCell ref="J26:K26"/>
    <mergeCell ref="J29:K29"/>
    <mergeCell ref="J32:K32"/>
    <mergeCell ref="C40:D40"/>
    <mergeCell ref="G40:J40"/>
    <mergeCell ref="J35:K35"/>
    <mergeCell ref="B37:D37"/>
    <mergeCell ref="E37:L37"/>
    <mergeCell ref="B36:L36"/>
    <mergeCell ref="J12:K12"/>
    <mergeCell ref="J13:K14"/>
    <mergeCell ref="C2:L2"/>
    <mergeCell ref="D6:E6"/>
    <mergeCell ref="D8:E8"/>
    <mergeCell ref="D10:E10"/>
    <mergeCell ref="D12:G14"/>
    <mergeCell ref="C12:C14"/>
    <mergeCell ref="B16:L16"/>
    <mergeCell ref="C21:L21"/>
    <mergeCell ref="C24:L24"/>
    <mergeCell ref="C27:L27"/>
    <mergeCell ref="C22:E22"/>
    <mergeCell ref="C20:G20"/>
    <mergeCell ref="J17:K17"/>
    <mergeCell ref="J20:K20"/>
    <mergeCell ref="C19:E19"/>
    <mergeCell ref="C25:E25"/>
    <mergeCell ref="C17:E17"/>
  </mergeCells>
  <dataValidations count="2">
    <dataValidation type="list" allowBlank="1" showInputMessage="1" showErrorMessage="1" error="Bitte einen Wert aus der Liste auswählen" sqref="K10">
      <formula1>Korrektursymbole</formula1>
    </dataValidation>
    <dataValidation type="list" showInputMessage="1" showErrorMessage="1" error="Bitte wählen Sie einen Wert zwischen 1 und der rechts angegebenen Maximalpunktzahl." sqref="J35 J20 J23 J26 J29 J32">
      <formula1>Abstufung</formula1>
    </dataValidation>
  </dataValidations>
  <pageMargins left="0.70866141732283472" right="0.11811023622047245" top="0.74803149606299213" bottom="0.74803149606299213" header="0.31496062992125984" footer="0.31496062992125984"/>
  <pageSetup paperSize="9" scale="64" fitToHeight="0" orientation="portrait" blackAndWhite="1" r:id="rId2"/>
  <headerFooter differentFirst="1">
    <oddFooter>&amp;RSeite &amp;P von &amp;N</oddFooter>
    <firstHeader xml:space="preserve">&amp;R&amp;G   </firstHeader>
    <firstFooter>&amp;L&amp;F&amp;C&amp;D&amp;RSeite &amp;P von &amp;N</firstFooter>
  </headerFooter>
  <rowBreaks count="1" manualBreakCount="1">
    <brk id="36" max="16383" man="1"/>
  </rowBreaks>
  <drawing r:id="rId3"/>
  <legacyDrawing r:id="rId4"/>
  <legacyDrawingHF r:id="rId5"/>
  <controls>
    <mc:AlternateContent xmlns:mc="http://schemas.openxmlformats.org/markup-compatibility/2006">
      <mc:Choice Requires="x14">
        <control shapeId="1077" r:id="rId6" name="TextBox_Anmerkungen">
          <controlPr defaultSize="0" autoFill="0" autoLine="0" r:id="rId7">
            <anchor moveWithCells="1">
              <from>
                <xdr:col>2</xdr:col>
                <xdr:colOff>0</xdr:colOff>
                <xdr:row>37</xdr:row>
                <xdr:rowOff>7620</xdr:rowOff>
              </from>
              <to>
                <xdr:col>10</xdr:col>
                <xdr:colOff>480060</xdr:colOff>
                <xdr:row>38</xdr:row>
                <xdr:rowOff>1143000</xdr:rowOff>
              </to>
            </anchor>
          </controlPr>
        </control>
      </mc:Choice>
      <mc:Fallback>
        <control shapeId="1077" r:id="rId6" name="TextBox_Anmerkungen"/>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55" id="{2C19D642-05D7-4269-A19E-C42CDAA7E567}">
            <xm:f>AND(#REF!='Daten und Berechnung'!#REF!,$K$10='Daten und Berechnung'!$N$14)</xm:f>
            <x14:dxf>
              <font>
                <b val="0"/>
                <i val="0"/>
                <strike val="0"/>
                <color theme="0" tint="-0.24994659260841701"/>
              </font>
              <fill>
                <patternFill>
                  <bgColor theme="3" tint="0.79998168889431442"/>
                </patternFill>
              </fill>
            </x14:dxf>
          </x14:cfRule>
          <x14:cfRule type="expression" priority="56" id="{2B256CA3-8B6A-4686-84A5-759B57C37D2D}">
            <xm:f>AND(#REF!='Daten und Berechnung'!#REF!,$K$10='Daten und Berechnung'!$N$13)</xm:f>
            <x14:dxf>
              <font>
                <b val="0"/>
                <i val="0"/>
                <strike val="0"/>
                <color theme="0" tint="-0.24994659260841701"/>
              </font>
              <fill>
                <patternFill>
                  <bgColor theme="3" tint="0.79998168889431442"/>
                </patternFill>
              </fill>
            </x14:dxf>
          </x14:cfRule>
          <xm:sqref>K10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ErrorMessage="1" errorTitle="Ungültiger Typ der Arbeit" error="Bitte wählen Sie den Typ der Arbeit aus der Dropdown-Liste aus.">
          <x14:formula1>
            <xm:f>'Texte und Punkte'!$O$3:$S$3</xm:f>
          </x14:formula1>
          <xm:sqref>G10</xm:sqref>
        </x14:dataValidation>
        <x14:dataValidation type="list" allowBlank="1" showInputMessage="1" showErrorMessage="1" error="Bitte wählen Sie einen Text aus der Dropdown-Liste aus.">
          <x14:formula1>
            <xm:f>'Texte und Punkte'!$H$10:$H$14</xm:f>
          </x14:formula1>
          <xm:sqref>C23</xm:sqref>
        </x14:dataValidation>
        <x14:dataValidation type="list" allowBlank="1" showInputMessage="1" showErrorMessage="1" error="Bitte wählen Sie einen Text aus der Dropdown-Liste aus.">
          <x14:formula1>
            <xm:f>'Texte und Punkte'!$H$15:$H$19</xm:f>
          </x14:formula1>
          <xm:sqref>C26</xm:sqref>
        </x14:dataValidation>
        <x14:dataValidation type="list" allowBlank="1" showInputMessage="1" showErrorMessage="1" error="Bitte wählen Sie einen Text aus der Dropdown-Liste aus.">
          <x14:formula1>
            <xm:f>'Texte und Punkte'!$H$20:$H$24</xm:f>
          </x14:formula1>
          <xm:sqref>C29</xm:sqref>
        </x14:dataValidation>
        <x14:dataValidation type="list" allowBlank="1" showInputMessage="1" showErrorMessage="1" error="Bitte wählen Sie einen Text aus der Dropdown-Liste aus.">
          <x14:formula1>
            <xm:f>'Texte und Punkte'!$H$30:$H$34</xm:f>
          </x14:formula1>
          <xm:sqref>C35</xm:sqref>
        </x14:dataValidation>
        <x14:dataValidation type="list" allowBlank="1" showInputMessage="1" showErrorMessage="1" error="Bitte wählen Sie einen Text aus der Dropdown-Liste aus.">
          <x14:formula1>
            <xm:f>'Texte und Punkte'!$H$5:$H$9</xm:f>
          </x14:formula1>
          <xm:sqref>C20</xm:sqref>
        </x14:dataValidation>
        <x14:dataValidation type="list" allowBlank="1" showInputMessage="1" showErrorMessage="1" error="Bitte wählen Sie einen Text aus der Dropdown-Liste aus.">
          <x14:formula1>
            <xm:f>'Texte und Punkte'!$H$25:$H$29</xm:f>
          </x14:formula1>
          <xm:sqref>C32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B1:AC40"/>
  <sheetViews>
    <sheetView zoomScaleNormal="100" workbookViewId="0">
      <selection activeCell="B5" sqref="B5:B9"/>
    </sheetView>
  </sheetViews>
  <sheetFormatPr baseColWidth="10" defaultColWidth="11.44140625" defaultRowHeight="14.4" x14ac:dyDescent="0.3"/>
  <cols>
    <col min="1" max="1" width="3" style="1" customWidth="1"/>
    <col min="2" max="2" width="28.44140625" style="9" bestFit="1" customWidth="1"/>
    <col min="3" max="3" width="6.33203125" style="2" customWidth="1"/>
    <col min="4" max="6" width="4.33203125" style="2" hidden="1" customWidth="1"/>
    <col min="7" max="7" width="4.33203125" style="3" hidden="1" customWidth="1"/>
    <col min="8" max="8" width="69.6640625" style="18" bestFit="1" customWidth="1"/>
    <col min="9" max="9" width="4.6640625" style="11" hidden="1" customWidth="1"/>
    <col min="10" max="10" width="6.6640625" style="3" hidden="1" customWidth="1"/>
    <col min="11" max="12" width="7.109375" style="3" hidden="1" customWidth="1"/>
    <col min="13" max="13" width="5.33203125" style="3" hidden="1" customWidth="1"/>
    <col min="14" max="14" width="6" style="3" hidden="1" customWidth="1"/>
    <col min="15" max="18" width="4.6640625" style="3" customWidth="1"/>
    <col min="19" max="19" width="4.77734375" style="3" bestFit="1" customWidth="1"/>
    <col min="20" max="20" width="8.5546875" style="3" customWidth="1"/>
    <col min="21" max="22" width="11.44140625" style="1"/>
    <col min="23" max="23" width="5.6640625" style="1" customWidth="1"/>
    <col min="24" max="16384" width="11.44140625" style="1"/>
  </cols>
  <sheetData>
    <row r="1" spans="2:29" ht="15" thickBot="1" x14ac:dyDescent="0.35">
      <c r="B1" s="8"/>
      <c r="C1" s="1"/>
      <c r="D1" s="1"/>
      <c r="H1" s="19"/>
      <c r="I1" s="12"/>
      <c r="J1" s="1"/>
      <c r="K1" s="1"/>
      <c r="L1" s="1"/>
      <c r="M1" s="1"/>
      <c r="N1" s="1"/>
      <c r="O1" s="1"/>
    </row>
    <row r="2" spans="2:29" s="115" customFormat="1" ht="20.399999999999999" customHeight="1" x14ac:dyDescent="0.3">
      <c r="B2" s="253" t="s">
        <v>48</v>
      </c>
      <c r="C2" s="256" t="s">
        <v>60</v>
      </c>
      <c r="D2" s="247" t="s">
        <v>113</v>
      </c>
      <c r="E2" s="274" t="s">
        <v>16</v>
      </c>
      <c r="F2" s="274" t="s">
        <v>112</v>
      </c>
      <c r="G2" s="277" t="s">
        <v>36</v>
      </c>
      <c r="H2" s="253" t="s">
        <v>11</v>
      </c>
      <c r="I2" s="259" t="s">
        <v>34</v>
      </c>
      <c r="J2" s="265" t="s">
        <v>37</v>
      </c>
      <c r="K2" s="268" t="s">
        <v>39</v>
      </c>
      <c r="L2" s="268" t="s">
        <v>40</v>
      </c>
      <c r="M2" s="268" t="s">
        <v>25</v>
      </c>
      <c r="N2" s="271" t="s">
        <v>32</v>
      </c>
      <c r="O2" s="250" t="s">
        <v>45</v>
      </c>
      <c r="P2" s="251"/>
      <c r="Q2" s="251"/>
      <c r="R2" s="251"/>
      <c r="S2" s="252"/>
      <c r="T2" s="114"/>
    </row>
    <row r="3" spans="2:29" s="4" customFormat="1" ht="103.8" customHeight="1" x14ac:dyDescent="0.3">
      <c r="B3" s="254"/>
      <c r="C3" s="257"/>
      <c r="D3" s="248"/>
      <c r="E3" s="275"/>
      <c r="F3" s="275"/>
      <c r="G3" s="278"/>
      <c r="H3" s="254"/>
      <c r="I3" s="260"/>
      <c r="J3" s="266"/>
      <c r="K3" s="269"/>
      <c r="L3" s="269"/>
      <c r="M3" s="269"/>
      <c r="N3" s="272"/>
      <c r="O3" s="126" t="str">
        <f>'Daten und Berechnung'!N4</f>
        <v>Projektarbeit 1</v>
      </c>
      <c r="P3" s="127" t="str">
        <f>'Daten und Berechnung'!N5</f>
        <v>Projektarbeit 2/3</v>
      </c>
      <c r="Q3" s="127" t="str">
        <f>'Daten und Berechnung'!N6</f>
        <v>Projektarbeit 4</v>
      </c>
      <c r="R3" s="127" t="str">
        <f>'Daten und Berechnung'!N7</f>
        <v>Studienarbeit</v>
      </c>
      <c r="S3" s="128" t="str">
        <f>'Daten und Berechnung'!N8</f>
        <v>Bachelorarbeit</v>
      </c>
    </row>
    <row r="4" spans="2:29" s="5" customFormat="1" ht="20.399999999999999" customHeight="1" thickBot="1" x14ac:dyDescent="0.35">
      <c r="B4" s="255"/>
      <c r="C4" s="258"/>
      <c r="D4" s="249"/>
      <c r="E4" s="276"/>
      <c r="F4" s="276"/>
      <c r="G4" s="279"/>
      <c r="H4" s="255"/>
      <c r="I4" s="261"/>
      <c r="J4" s="267"/>
      <c r="K4" s="270"/>
      <c r="L4" s="270"/>
      <c r="M4" s="270"/>
      <c r="N4" s="273"/>
      <c r="O4" s="262" t="str">
        <f>'Daten und Berechnung'!N8</f>
        <v>Bachelorarbeit</v>
      </c>
      <c r="P4" s="263"/>
      <c r="Q4" s="263"/>
      <c r="R4" s="263"/>
      <c r="S4" s="264"/>
    </row>
    <row r="5" spans="2:29" ht="45" customHeight="1" thickBot="1" x14ac:dyDescent="0.35">
      <c r="B5" s="300" t="s">
        <v>96</v>
      </c>
      <c r="C5" s="294">
        <f>D5*INDEX(O5:S5,1,Typnummer_Arbeit)/100*Anz_Krit</f>
        <v>13.200000000000001</v>
      </c>
      <c r="D5" s="244">
        <f>((E5-1)*I5+G5)*N5</f>
        <v>11</v>
      </c>
      <c r="E5" s="238">
        <f>MATCH(LEFT(Beurteilung!C20,2),F5:F9,0)</f>
        <v>4</v>
      </c>
      <c r="F5" s="103" t="str">
        <f>LEFT(H5,2)</f>
        <v>a)</v>
      </c>
      <c r="G5" s="241">
        <f>IF(Beurteilung!J20=Stufe_1,1,IF(Beurteilung!J20=Stufe_2,2,3))</f>
        <v>2</v>
      </c>
      <c r="H5" s="137" t="s">
        <v>67</v>
      </c>
      <c r="I5" s="293">
        <v>3</v>
      </c>
      <c r="J5" s="76">
        <f t="shared" ref="J5:J34" si="0">IF(B5&gt;0,1,"")</f>
        <v>1</v>
      </c>
      <c r="K5" s="26">
        <f t="shared" ref="K5:K31" si="1">IF(J5=1,1,K4+1)</f>
        <v>1</v>
      </c>
      <c r="L5" s="15">
        <f>IF(J5=1,E5,L4)</f>
        <v>4</v>
      </c>
      <c r="M5" s="287">
        <f>IF(J5=1,IF(ISNA(MATCH(1,J6:J$35,0)),Endzeile-ROW(),MATCH(1,J6:J$35,0)),"")</f>
        <v>5</v>
      </c>
      <c r="N5" s="290">
        <f>P_Krit/(I5*M5)</f>
        <v>1</v>
      </c>
      <c r="O5" s="286">
        <v>25</v>
      </c>
      <c r="P5" s="281">
        <v>25</v>
      </c>
      <c r="Q5" s="281">
        <v>20</v>
      </c>
      <c r="R5" s="281">
        <v>10</v>
      </c>
      <c r="S5" s="284">
        <v>10</v>
      </c>
      <c r="T5" s="1"/>
    </row>
    <row r="6" spans="2:29" ht="45" customHeight="1" thickBot="1" x14ac:dyDescent="0.35">
      <c r="B6" s="301"/>
      <c r="C6" s="295"/>
      <c r="D6" s="245"/>
      <c r="E6" s="239"/>
      <c r="F6" s="103" t="str">
        <f t="shared" ref="F6:F34" si="2">LEFT(H6,2)</f>
        <v>b)</v>
      </c>
      <c r="G6" s="242"/>
      <c r="H6" s="137" t="s">
        <v>68</v>
      </c>
      <c r="I6" s="293"/>
      <c r="J6" s="77" t="str">
        <f t="shared" si="0"/>
        <v/>
      </c>
      <c r="K6" s="15">
        <f t="shared" si="1"/>
        <v>2</v>
      </c>
      <c r="L6" s="15">
        <f>IF(J6=1,E6,L5)</f>
        <v>4</v>
      </c>
      <c r="M6" s="288" t="str">
        <f>IF(J6=1,IF(ISNA(MATCH(1,J8:J$35,0)),Endzeile-ROW(),MATCH(1,J8:J$35,0)),"")</f>
        <v/>
      </c>
      <c r="N6" s="291"/>
      <c r="O6" s="286"/>
      <c r="P6" s="281"/>
      <c r="Q6" s="281"/>
      <c r="R6" s="281"/>
      <c r="S6" s="284"/>
      <c r="T6" s="1"/>
    </row>
    <row r="7" spans="2:29" ht="45" customHeight="1" thickBot="1" x14ac:dyDescent="0.35">
      <c r="B7" s="301"/>
      <c r="C7" s="295"/>
      <c r="D7" s="245"/>
      <c r="E7" s="239"/>
      <c r="F7" s="103" t="str">
        <f t="shared" si="2"/>
        <v>c)</v>
      </c>
      <c r="G7" s="242"/>
      <c r="H7" s="137" t="s">
        <v>69</v>
      </c>
      <c r="I7" s="293"/>
      <c r="J7" s="77" t="str">
        <f t="shared" si="0"/>
        <v/>
      </c>
      <c r="K7" s="15">
        <v>3</v>
      </c>
      <c r="L7" s="15">
        <f>IF(J7=1,E7,L6)</f>
        <v>4</v>
      </c>
      <c r="M7" s="288"/>
      <c r="N7" s="291"/>
      <c r="O7" s="286"/>
      <c r="P7" s="281"/>
      <c r="Q7" s="281"/>
      <c r="R7" s="281"/>
      <c r="S7" s="284"/>
      <c r="T7" s="1"/>
    </row>
    <row r="8" spans="2:29" ht="45" customHeight="1" thickBot="1" x14ac:dyDescent="0.35">
      <c r="B8" s="301"/>
      <c r="C8" s="295"/>
      <c r="D8" s="245"/>
      <c r="E8" s="239"/>
      <c r="F8" s="103" t="str">
        <f t="shared" si="2"/>
        <v>d)</v>
      </c>
      <c r="G8" s="242"/>
      <c r="H8" s="137" t="s">
        <v>70</v>
      </c>
      <c r="I8" s="293"/>
      <c r="J8" s="77" t="str">
        <f t="shared" si="0"/>
        <v/>
      </c>
      <c r="K8" s="15">
        <v>4</v>
      </c>
      <c r="L8" s="15">
        <f>IF(J8=1,E8,L6)</f>
        <v>4</v>
      </c>
      <c r="M8" s="288" t="str">
        <f>IF(J8=1,IF(ISNA(MATCH(1,J9:J$35,0)),Endzeile-ROW(),MATCH(1,J9:J$35,0)),"")</f>
        <v/>
      </c>
      <c r="N8" s="291"/>
      <c r="O8" s="286"/>
      <c r="P8" s="281"/>
      <c r="Q8" s="281"/>
      <c r="R8" s="281"/>
      <c r="S8" s="284"/>
      <c r="T8" s="1"/>
    </row>
    <row r="9" spans="2:29" ht="45" customHeight="1" thickBot="1" x14ac:dyDescent="0.35">
      <c r="B9" s="302"/>
      <c r="C9" s="296"/>
      <c r="D9" s="246"/>
      <c r="E9" s="240"/>
      <c r="F9" s="103" t="str">
        <f t="shared" si="2"/>
        <v>e)</v>
      </c>
      <c r="G9" s="243"/>
      <c r="H9" s="137" t="s">
        <v>71</v>
      </c>
      <c r="I9" s="293"/>
      <c r="J9" s="77" t="str">
        <f t="shared" si="0"/>
        <v/>
      </c>
      <c r="K9" s="16">
        <v>5</v>
      </c>
      <c r="L9" s="16">
        <f>IF(J9=1,E9,L8)</f>
        <v>4</v>
      </c>
      <c r="M9" s="289" t="str">
        <f>IF(J9=1,IF(ISNA(MATCH(1,J10:J$35,0)),Endzeile-ROW(),MATCH(1,J10:J$35,0)),"")</f>
        <v/>
      </c>
      <c r="N9" s="292"/>
      <c r="O9" s="286"/>
      <c r="P9" s="282"/>
      <c r="Q9" s="282"/>
      <c r="R9" s="282"/>
      <c r="S9" s="285"/>
      <c r="T9" s="1"/>
    </row>
    <row r="10" spans="2:29" ht="60" customHeight="1" thickBot="1" x14ac:dyDescent="0.35">
      <c r="B10" s="297" t="s">
        <v>97</v>
      </c>
      <c r="C10" s="294">
        <f>D10*INDEX(O10:S10,1,Typnummer_Arbeit)/100*Anz_Krit</f>
        <v>7.1999999999999993</v>
      </c>
      <c r="D10" s="244">
        <f>((E10-1)*I10+G10)*N10</f>
        <v>12</v>
      </c>
      <c r="E10" s="238">
        <f>MATCH(LEFT(Beurteilung!C23,2),F10:F14,0)</f>
        <v>4</v>
      </c>
      <c r="F10" s="104" t="str">
        <f t="shared" si="2"/>
        <v>a)</v>
      </c>
      <c r="G10" s="241">
        <f>IF(Beurteilung!J23=Stufe_1,1,IF(Beurteilung!J23=Stufe_2,2,3))</f>
        <v>3</v>
      </c>
      <c r="H10" s="137" t="s">
        <v>72</v>
      </c>
      <c r="I10" s="293">
        <v>3</v>
      </c>
      <c r="J10" s="76">
        <f t="shared" si="0"/>
        <v>1</v>
      </c>
      <c r="K10" s="15">
        <f t="shared" si="1"/>
        <v>1</v>
      </c>
      <c r="L10" s="15">
        <f>IF(J10=1,E10,L9)</f>
        <v>4</v>
      </c>
      <c r="M10" s="287">
        <f>IF(J10=1,IF(ISNA(MATCH(1,J11:J$35,0)),Endzeile-ROW(),MATCH(1,J11:J$35,0)),"")</f>
        <v>5</v>
      </c>
      <c r="N10" s="290">
        <f>P_Krit/(I10*M10)</f>
        <v>1</v>
      </c>
      <c r="O10" s="286">
        <v>10</v>
      </c>
      <c r="P10" s="280">
        <v>10</v>
      </c>
      <c r="Q10" s="280">
        <v>10</v>
      </c>
      <c r="R10" s="280">
        <v>10</v>
      </c>
      <c r="S10" s="283">
        <v>10</v>
      </c>
    </row>
    <row r="11" spans="2:29" ht="72.75" customHeight="1" thickBot="1" x14ac:dyDescent="0.35">
      <c r="B11" s="298"/>
      <c r="C11" s="295"/>
      <c r="D11" s="245"/>
      <c r="E11" s="239"/>
      <c r="F11" s="105" t="str">
        <f t="shared" si="2"/>
        <v>b)</v>
      </c>
      <c r="G11" s="242"/>
      <c r="H11" s="138" t="s">
        <v>73</v>
      </c>
      <c r="I11" s="293"/>
      <c r="J11" s="77" t="str">
        <f t="shared" si="0"/>
        <v/>
      </c>
      <c r="K11" s="15">
        <f t="shared" si="1"/>
        <v>2</v>
      </c>
      <c r="L11" s="15">
        <f>IF(J11=1,E11,L10)</f>
        <v>4</v>
      </c>
      <c r="M11" s="288" t="str">
        <f>IF(J11=1,IF(ISNA(MATCH(1,J13:J$35,0)),Endzeile-ROW(),MATCH(1,J13:J$35,0)),"")</f>
        <v/>
      </c>
      <c r="N11" s="291"/>
      <c r="O11" s="286"/>
      <c r="P11" s="281"/>
      <c r="Q11" s="281"/>
      <c r="R11" s="281"/>
      <c r="S11" s="284"/>
    </row>
    <row r="12" spans="2:29" ht="78.45" customHeight="1" thickBot="1" x14ac:dyDescent="0.35">
      <c r="B12" s="298"/>
      <c r="C12" s="295"/>
      <c r="D12" s="245"/>
      <c r="E12" s="239"/>
      <c r="F12" s="105" t="str">
        <f t="shared" si="2"/>
        <v>c)</v>
      </c>
      <c r="G12" s="242"/>
      <c r="H12" s="138" t="s">
        <v>111</v>
      </c>
      <c r="I12" s="293"/>
      <c r="J12" s="77" t="str">
        <f t="shared" si="0"/>
        <v/>
      </c>
      <c r="K12" s="15">
        <v>3</v>
      </c>
      <c r="L12" s="15">
        <f>IF(J12=1,E12,L11)</f>
        <v>4</v>
      </c>
      <c r="M12" s="288"/>
      <c r="N12" s="291"/>
      <c r="O12" s="286"/>
      <c r="P12" s="281"/>
      <c r="Q12" s="281"/>
      <c r="R12" s="281"/>
      <c r="S12" s="284"/>
    </row>
    <row r="13" spans="2:29" ht="74.7" customHeight="1" thickBot="1" x14ac:dyDescent="0.35">
      <c r="B13" s="298"/>
      <c r="C13" s="295"/>
      <c r="D13" s="245"/>
      <c r="E13" s="239"/>
      <c r="F13" s="105" t="str">
        <f t="shared" si="2"/>
        <v>d)</v>
      </c>
      <c r="G13" s="242"/>
      <c r="H13" s="138" t="s">
        <v>74</v>
      </c>
      <c r="I13" s="293"/>
      <c r="J13" s="77" t="str">
        <f t="shared" si="0"/>
        <v/>
      </c>
      <c r="K13" s="15">
        <v>4</v>
      </c>
      <c r="L13" s="15">
        <f>IF(J13=1,E13,L11)</f>
        <v>4</v>
      </c>
      <c r="M13" s="288" t="str">
        <f>IF(J13=1,IF(ISNA(MATCH(1,J14:J$35,0)),Endzeile-ROW(),MATCH(1,J14:J$35,0)),"")</f>
        <v/>
      </c>
      <c r="N13" s="291"/>
      <c r="O13" s="286"/>
      <c r="P13" s="281"/>
      <c r="Q13" s="281"/>
      <c r="R13" s="281"/>
      <c r="S13" s="284"/>
      <c r="T13" s="17"/>
      <c r="Y13" s="3"/>
      <c r="Z13" s="3"/>
      <c r="AA13" s="3"/>
      <c r="AB13" s="3"/>
      <c r="AC13" s="3"/>
    </row>
    <row r="14" spans="2:29" ht="70.95" customHeight="1" thickBot="1" x14ac:dyDescent="0.35">
      <c r="B14" s="299"/>
      <c r="C14" s="296"/>
      <c r="D14" s="246"/>
      <c r="E14" s="240"/>
      <c r="F14" s="106" t="str">
        <f t="shared" si="2"/>
        <v>e)</v>
      </c>
      <c r="G14" s="243"/>
      <c r="H14" s="139" t="s">
        <v>75</v>
      </c>
      <c r="I14" s="293"/>
      <c r="J14" s="78" t="str">
        <f t="shared" si="0"/>
        <v/>
      </c>
      <c r="K14" s="15">
        <f t="shared" si="1"/>
        <v>5</v>
      </c>
      <c r="L14" s="15">
        <f>IF(J14=1,E14,L13)</f>
        <v>4</v>
      </c>
      <c r="M14" s="289" t="str">
        <f>IF(J14=1,IF(ISNA(MATCH(1,J15:J$35,0)),Endzeile-ROW(),MATCH(1,J15:J$35,0)),"")</f>
        <v/>
      </c>
      <c r="N14" s="292"/>
      <c r="O14" s="286"/>
      <c r="P14" s="282"/>
      <c r="Q14" s="282"/>
      <c r="R14" s="282"/>
      <c r="S14" s="285"/>
      <c r="T14" s="17"/>
      <c r="Y14" s="3"/>
      <c r="Z14" s="3"/>
      <c r="AA14" s="3"/>
      <c r="AB14" s="3"/>
      <c r="AC14" s="3"/>
    </row>
    <row r="15" spans="2:29" ht="45" customHeight="1" thickBot="1" x14ac:dyDescent="0.35">
      <c r="B15" s="297" t="s">
        <v>98</v>
      </c>
      <c r="C15" s="294">
        <f>D15*INDEX(O15:S15,1,Typnummer_Arbeit)/100*Anz_Krit</f>
        <v>18</v>
      </c>
      <c r="D15" s="244">
        <f>((E15-1)*I15+G15)*N15</f>
        <v>12</v>
      </c>
      <c r="E15" s="238">
        <f>MATCH(LEFT(Beurteilung!C26,2),F15:F19,0)</f>
        <v>4</v>
      </c>
      <c r="F15" s="103" t="str">
        <f t="shared" si="2"/>
        <v>a)</v>
      </c>
      <c r="G15" s="241">
        <f>IF(Beurteilung!J26=Stufe_1,1,IF(Beurteilung!J26=Stufe_2,2,3))</f>
        <v>3</v>
      </c>
      <c r="H15" s="137" t="s">
        <v>76</v>
      </c>
      <c r="I15" s="293">
        <v>3</v>
      </c>
      <c r="J15" s="76">
        <f t="shared" si="0"/>
        <v>1</v>
      </c>
      <c r="K15" s="14">
        <f t="shared" si="1"/>
        <v>1</v>
      </c>
      <c r="L15" s="14">
        <f>IF(J15=1,E15,L14)</f>
        <v>4</v>
      </c>
      <c r="M15" s="287">
        <f>IF(J15=1,IF(ISNA(MATCH(1,J16:J$35,0)),Endzeile-ROW(),MATCH(1,J16:J$35,0)),"")</f>
        <v>5</v>
      </c>
      <c r="N15" s="290">
        <f>P_Krit/(I15*M15)</f>
        <v>1</v>
      </c>
      <c r="O15" s="286">
        <v>20</v>
      </c>
      <c r="P15" s="280">
        <v>20</v>
      </c>
      <c r="Q15" s="280">
        <v>25</v>
      </c>
      <c r="R15" s="280">
        <v>35</v>
      </c>
      <c r="S15" s="283">
        <v>35</v>
      </c>
      <c r="T15" s="17"/>
      <c r="Y15" s="3"/>
      <c r="Z15" s="3"/>
      <c r="AA15" s="3"/>
      <c r="AB15" s="3"/>
    </row>
    <row r="16" spans="2:29" ht="45" customHeight="1" thickBot="1" x14ac:dyDescent="0.35">
      <c r="B16" s="298"/>
      <c r="C16" s="295"/>
      <c r="D16" s="245"/>
      <c r="E16" s="239"/>
      <c r="F16" s="103" t="str">
        <f t="shared" si="2"/>
        <v>b)</v>
      </c>
      <c r="G16" s="242"/>
      <c r="H16" s="138" t="s">
        <v>77</v>
      </c>
      <c r="I16" s="293"/>
      <c r="J16" s="77" t="str">
        <f t="shared" si="0"/>
        <v/>
      </c>
      <c r="K16" s="15">
        <f t="shared" si="1"/>
        <v>2</v>
      </c>
      <c r="L16" s="15">
        <f>IF(J16=1,E16,L15)</f>
        <v>4</v>
      </c>
      <c r="M16" s="288" t="str">
        <f>IF(J16=1,IF(ISNA(MATCH(1,J18:J$35,0)),Endzeile-ROW(),MATCH(1,J18:J$35,0)),"")</f>
        <v/>
      </c>
      <c r="N16" s="291"/>
      <c r="O16" s="286"/>
      <c r="P16" s="281"/>
      <c r="Q16" s="281"/>
      <c r="R16" s="281"/>
      <c r="S16" s="284"/>
      <c r="T16" s="17"/>
    </row>
    <row r="17" spans="2:20" ht="45" customHeight="1" thickBot="1" x14ac:dyDescent="0.35">
      <c r="B17" s="298"/>
      <c r="C17" s="295"/>
      <c r="D17" s="245"/>
      <c r="E17" s="239"/>
      <c r="F17" s="103" t="str">
        <f t="shared" si="2"/>
        <v>c)</v>
      </c>
      <c r="G17" s="242"/>
      <c r="H17" s="138" t="s">
        <v>78</v>
      </c>
      <c r="I17" s="293"/>
      <c r="J17" s="77" t="str">
        <f t="shared" si="0"/>
        <v/>
      </c>
      <c r="K17" s="15">
        <v>3</v>
      </c>
      <c r="L17" s="15">
        <f>IF(J17=1,E17,L16)</f>
        <v>4</v>
      </c>
      <c r="M17" s="288"/>
      <c r="N17" s="291"/>
      <c r="O17" s="286"/>
      <c r="P17" s="281"/>
      <c r="Q17" s="281"/>
      <c r="R17" s="281"/>
      <c r="S17" s="284"/>
      <c r="T17" s="17"/>
    </row>
    <row r="18" spans="2:20" ht="45" customHeight="1" thickBot="1" x14ac:dyDescent="0.35">
      <c r="B18" s="298"/>
      <c r="C18" s="295"/>
      <c r="D18" s="245"/>
      <c r="E18" s="239"/>
      <c r="F18" s="103" t="str">
        <f t="shared" si="2"/>
        <v>d)</v>
      </c>
      <c r="G18" s="242"/>
      <c r="H18" s="138" t="s">
        <v>79</v>
      </c>
      <c r="I18" s="293"/>
      <c r="J18" s="77" t="str">
        <f t="shared" si="0"/>
        <v/>
      </c>
      <c r="K18" s="15">
        <v>4</v>
      </c>
      <c r="L18" s="15">
        <f>IF(J18=1,E18,L16)</f>
        <v>4</v>
      </c>
      <c r="M18" s="288" t="str">
        <f>IF(J18=1,IF(ISNA(MATCH(1,J19:J$35,0)),Endzeile-ROW(),MATCH(1,J19:J$35,0)),"")</f>
        <v/>
      </c>
      <c r="N18" s="291"/>
      <c r="O18" s="286"/>
      <c r="P18" s="281"/>
      <c r="Q18" s="281"/>
      <c r="R18" s="281"/>
      <c r="S18" s="284"/>
      <c r="T18" s="17"/>
    </row>
    <row r="19" spans="2:20" ht="45" customHeight="1" thickBot="1" x14ac:dyDescent="0.35">
      <c r="B19" s="299"/>
      <c r="C19" s="296"/>
      <c r="D19" s="246"/>
      <c r="E19" s="240"/>
      <c r="F19" s="103" t="str">
        <f t="shared" si="2"/>
        <v>e)</v>
      </c>
      <c r="G19" s="243"/>
      <c r="H19" s="140" t="s">
        <v>80</v>
      </c>
      <c r="I19" s="293"/>
      <c r="J19" s="78" t="str">
        <f t="shared" si="0"/>
        <v/>
      </c>
      <c r="K19" s="16">
        <v>5</v>
      </c>
      <c r="L19" s="16">
        <f>IF(J19=1,E19,L18)</f>
        <v>4</v>
      </c>
      <c r="M19" s="289" t="str">
        <f>IF(J19=1,IF(ISNA(MATCH(1,J20:J$35,0)),Endzeile-ROW(),MATCH(1,J20:J$35,0)),"")</f>
        <v/>
      </c>
      <c r="N19" s="292"/>
      <c r="O19" s="286"/>
      <c r="P19" s="282"/>
      <c r="Q19" s="282"/>
      <c r="R19" s="282"/>
      <c r="S19" s="285"/>
      <c r="T19" s="17"/>
    </row>
    <row r="20" spans="2:20" ht="45" customHeight="1" thickBot="1" x14ac:dyDescent="0.35">
      <c r="B20" s="297" t="s">
        <v>99</v>
      </c>
      <c r="C20" s="294">
        <f>D20*INDEX(O20:S20,1,Typnummer_Arbeit)/100*Anz_Krit</f>
        <v>16.799999999999997</v>
      </c>
      <c r="D20" s="244">
        <f>((E20-1)*I20+G20)*N20</f>
        <v>14</v>
      </c>
      <c r="E20" s="238">
        <f>MATCH(LEFT(Beurteilung!C29,2),F20:F24,0)</f>
        <v>5</v>
      </c>
      <c r="F20" s="104" t="str">
        <f t="shared" si="2"/>
        <v>a)</v>
      </c>
      <c r="G20" s="241">
        <f>IF(Beurteilung!J29=Stufe_1,1,IF(Beurteilung!J29=Stufe_2,2,3))</f>
        <v>2</v>
      </c>
      <c r="H20" s="141" t="s">
        <v>81</v>
      </c>
      <c r="I20" s="293">
        <v>3</v>
      </c>
      <c r="J20" s="76">
        <f t="shared" si="0"/>
        <v>1</v>
      </c>
      <c r="K20" s="15">
        <f t="shared" si="1"/>
        <v>1</v>
      </c>
      <c r="L20" s="15">
        <f>IF(J20=1,E20,L19)</f>
        <v>5</v>
      </c>
      <c r="M20" s="287">
        <f>IF(J20=1,IF(ISNA(MATCH(1,J21:J$35,0)),Endzeile-ROW(),MATCH(1,J21:J$35,0)),"")</f>
        <v>5</v>
      </c>
      <c r="N20" s="290">
        <f>P_Krit/(I20*M20)</f>
        <v>1</v>
      </c>
      <c r="O20" s="286">
        <v>15</v>
      </c>
      <c r="P20" s="280">
        <v>15</v>
      </c>
      <c r="Q20" s="280">
        <v>20</v>
      </c>
      <c r="R20" s="280">
        <v>25</v>
      </c>
      <c r="S20" s="283">
        <v>25</v>
      </c>
      <c r="T20" s="17"/>
    </row>
    <row r="21" spans="2:20" ht="45" customHeight="1" thickBot="1" x14ac:dyDescent="0.35">
      <c r="B21" s="298"/>
      <c r="C21" s="295"/>
      <c r="D21" s="245"/>
      <c r="E21" s="239"/>
      <c r="F21" s="105" t="str">
        <f t="shared" si="2"/>
        <v>b)</v>
      </c>
      <c r="G21" s="242"/>
      <c r="H21" s="138" t="s">
        <v>82</v>
      </c>
      <c r="I21" s="293"/>
      <c r="J21" s="77" t="str">
        <f t="shared" si="0"/>
        <v/>
      </c>
      <c r="K21" s="15">
        <f t="shared" si="1"/>
        <v>2</v>
      </c>
      <c r="L21" s="15">
        <f>IF(J21=1,E21,L20)</f>
        <v>5</v>
      </c>
      <c r="M21" s="288" t="str">
        <f>IF(J21=1,IF(ISNA(MATCH(1,J23:J$35,0)),Endzeile-ROW(),MATCH(1,J23:J$35,0)),"")</f>
        <v/>
      </c>
      <c r="N21" s="291"/>
      <c r="O21" s="286"/>
      <c r="P21" s="281"/>
      <c r="Q21" s="281"/>
      <c r="R21" s="281"/>
      <c r="S21" s="284"/>
      <c r="T21" s="17"/>
    </row>
    <row r="22" spans="2:20" ht="45" customHeight="1" thickBot="1" x14ac:dyDescent="0.35">
      <c r="B22" s="298"/>
      <c r="C22" s="295"/>
      <c r="D22" s="245"/>
      <c r="E22" s="239"/>
      <c r="F22" s="105" t="str">
        <f t="shared" si="2"/>
        <v>c)</v>
      </c>
      <c r="G22" s="242"/>
      <c r="H22" s="138" t="s">
        <v>83</v>
      </c>
      <c r="I22" s="293"/>
      <c r="J22" s="77" t="str">
        <f t="shared" si="0"/>
        <v/>
      </c>
      <c r="K22" s="15">
        <v>3</v>
      </c>
      <c r="L22" s="15">
        <f>IF(J22=1,E22,L21)</f>
        <v>5</v>
      </c>
      <c r="M22" s="288"/>
      <c r="N22" s="291"/>
      <c r="O22" s="286"/>
      <c r="P22" s="281"/>
      <c r="Q22" s="281"/>
      <c r="R22" s="281"/>
      <c r="S22" s="284"/>
      <c r="T22" s="17"/>
    </row>
    <row r="23" spans="2:20" ht="45" customHeight="1" thickBot="1" x14ac:dyDescent="0.35">
      <c r="B23" s="298"/>
      <c r="C23" s="295"/>
      <c r="D23" s="245"/>
      <c r="E23" s="239"/>
      <c r="F23" s="105" t="str">
        <f t="shared" si="2"/>
        <v>d)</v>
      </c>
      <c r="G23" s="242"/>
      <c r="H23" s="138" t="s">
        <v>84</v>
      </c>
      <c r="I23" s="293"/>
      <c r="J23" s="77" t="str">
        <f t="shared" si="0"/>
        <v/>
      </c>
      <c r="K23" s="15">
        <v>4</v>
      </c>
      <c r="L23" s="15">
        <f>IF(J23=1,E23,L21)</f>
        <v>5</v>
      </c>
      <c r="M23" s="288" t="str">
        <f>IF(J23=1,IF(ISNA(MATCH(1,J24:J$35,0)),Endzeile-ROW(),MATCH(1,J24:J$35,0)),"")</f>
        <v/>
      </c>
      <c r="N23" s="291"/>
      <c r="O23" s="286"/>
      <c r="P23" s="281"/>
      <c r="Q23" s="281"/>
      <c r="R23" s="281"/>
      <c r="S23" s="284"/>
      <c r="T23" s="17"/>
    </row>
    <row r="24" spans="2:20" ht="69" customHeight="1" thickBot="1" x14ac:dyDescent="0.35">
      <c r="B24" s="299"/>
      <c r="C24" s="296"/>
      <c r="D24" s="246"/>
      <c r="E24" s="240"/>
      <c r="F24" s="106" t="str">
        <f t="shared" si="2"/>
        <v>e)</v>
      </c>
      <c r="G24" s="243"/>
      <c r="H24" s="139" t="s">
        <v>85</v>
      </c>
      <c r="I24" s="293"/>
      <c r="J24" s="78" t="str">
        <f t="shared" si="0"/>
        <v/>
      </c>
      <c r="K24" s="15">
        <v>5</v>
      </c>
      <c r="L24" s="15">
        <f>IF(J24=1,E24,L23)</f>
        <v>5</v>
      </c>
      <c r="M24" s="289" t="str">
        <f>IF(J24=1,IF(ISNA(MATCH(1,J25:J$35,0)),Endzeile-ROW(),MATCH(1,J25:J$35,0)),"")</f>
        <v/>
      </c>
      <c r="N24" s="292"/>
      <c r="O24" s="286"/>
      <c r="P24" s="282"/>
      <c r="Q24" s="282"/>
      <c r="R24" s="282"/>
      <c r="S24" s="285"/>
      <c r="T24" s="17"/>
    </row>
    <row r="25" spans="2:20" ht="45" customHeight="1" thickBot="1" x14ac:dyDescent="0.35">
      <c r="B25" s="297" t="s">
        <v>100</v>
      </c>
      <c r="C25" s="294">
        <f>D25*INDEX(O25:S25,1,Typnummer_Arbeit)/100*Anz_Krit</f>
        <v>11.7</v>
      </c>
      <c r="D25" s="244">
        <f>((E25-1)*I25+G25)*N25</f>
        <v>13</v>
      </c>
      <c r="E25" s="238">
        <f>MATCH(LEFT(Beurteilung!C32,2),F25:F29,0)</f>
        <v>5</v>
      </c>
      <c r="F25" s="103" t="str">
        <f t="shared" si="2"/>
        <v>a)</v>
      </c>
      <c r="G25" s="241">
        <f>IF(Beurteilung!J32=Stufe_1,1,IF(Beurteilung!J32=Stufe_2,2,3))</f>
        <v>1</v>
      </c>
      <c r="H25" s="137" t="s">
        <v>86</v>
      </c>
      <c r="I25" s="293">
        <v>3</v>
      </c>
      <c r="J25" s="76">
        <f t="shared" si="0"/>
        <v>1</v>
      </c>
      <c r="K25" s="14">
        <f t="shared" si="1"/>
        <v>1</v>
      </c>
      <c r="L25" s="14">
        <f>IF(J25=1,E25,L24)</f>
        <v>5</v>
      </c>
      <c r="M25" s="287">
        <f>IF(J25=1,IF(ISNA(MATCH(1,J26:J$35,0)),Endzeile-ROW(),MATCH(1,J26:J$35,0)),"")</f>
        <v>5</v>
      </c>
      <c r="N25" s="290">
        <f>P_Krit/(I25*M25)</f>
        <v>1</v>
      </c>
      <c r="O25" s="286">
        <v>20</v>
      </c>
      <c r="P25" s="280">
        <v>20</v>
      </c>
      <c r="Q25" s="280">
        <v>15</v>
      </c>
      <c r="R25" s="280">
        <v>10</v>
      </c>
      <c r="S25" s="283">
        <v>10</v>
      </c>
      <c r="T25" s="17"/>
    </row>
    <row r="26" spans="2:20" ht="45" customHeight="1" thickBot="1" x14ac:dyDescent="0.35">
      <c r="B26" s="298"/>
      <c r="C26" s="295"/>
      <c r="D26" s="245"/>
      <c r="E26" s="239"/>
      <c r="F26" s="103" t="str">
        <f t="shared" si="2"/>
        <v>b)</v>
      </c>
      <c r="G26" s="242"/>
      <c r="H26" s="138" t="s">
        <v>87</v>
      </c>
      <c r="I26" s="293"/>
      <c r="J26" s="77" t="str">
        <f t="shared" si="0"/>
        <v/>
      </c>
      <c r="K26" s="15">
        <f t="shared" si="1"/>
        <v>2</v>
      </c>
      <c r="L26" s="15">
        <f>IF(J26=1,E26,L25)</f>
        <v>5</v>
      </c>
      <c r="M26" s="288" t="str">
        <f>IF(J26=1,IF(ISNA(MATCH(1,J28:J$35,0)),Endzeile-ROW(),MATCH(1,J28:J$35,0)),"")</f>
        <v/>
      </c>
      <c r="N26" s="291"/>
      <c r="O26" s="286"/>
      <c r="P26" s="281"/>
      <c r="Q26" s="281"/>
      <c r="R26" s="281"/>
      <c r="S26" s="284"/>
      <c r="T26" s="17"/>
    </row>
    <row r="27" spans="2:20" ht="45" customHeight="1" thickBot="1" x14ac:dyDescent="0.35">
      <c r="B27" s="298"/>
      <c r="C27" s="295"/>
      <c r="D27" s="245"/>
      <c r="E27" s="239"/>
      <c r="F27" s="103" t="str">
        <f t="shared" si="2"/>
        <v>c)</v>
      </c>
      <c r="G27" s="242"/>
      <c r="H27" s="138" t="s">
        <v>88</v>
      </c>
      <c r="I27" s="293"/>
      <c r="J27" s="77" t="str">
        <f t="shared" si="0"/>
        <v/>
      </c>
      <c r="K27" s="15">
        <v>3</v>
      </c>
      <c r="L27" s="15">
        <f>IF(J27=1,E27,L26)</f>
        <v>5</v>
      </c>
      <c r="M27" s="288"/>
      <c r="N27" s="291"/>
      <c r="O27" s="286"/>
      <c r="P27" s="281"/>
      <c r="Q27" s="281"/>
      <c r="R27" s="281"/>
      <c r="S27" s="284"/>
      <c r="T27" s="17"/>
    </row>
    <row r="28" spans="2:20" ht="45" customHeight="1" thickBot="1" x14ac:dyDescent="0.35">
      <c r="B28" s="298"/>
      <c r="C28" s="295"/>
      <c r="D28" s="245"/>
      <c r="E28" s="239"/>
      <c r="F28" s="103" t="str">
        <f t="shared" si="2"/>
        <v>d)</v>
      </c>
      <c r="G28" s="242"/>
      <c r="H28" s="138" t="s">
        <v>89</v>
      </c>
      <c r="I28" s="293"/>
      <c r="J28" s="77" t="str">
        <f t="shared" si="0"/>
        <v/>
      </c>
      <c r="K28" s="15">
        <v>4</v>
      </c>
      <c r="L28" s="15">
        <f>IF(J28=1,E28,L26)</f>
        <v>5</v>
      </c>
      <c r="M28" s="288" t="str">
        <f>IF(J28=1,IF(ISNA(MATCH(1,J29:J$35,0)),Endzeile-ROW(),MATCH(1,J29:J$35,0)),"")</f>
        <v/>
      </c>
      <c r="N28" s="291"/>
      <c r="O28" s="286"/>
      <c r="P28" s="281"/>
      <c r="Q28" s="281"/>
      <c r="R28" s="281"/>
      <c r="S28" s="284"/>
      <c r="T28" s="17"/>
    </row>
    <row r="29" spans="2:20" ht="45" customHeight="1" thickBot="1" x14ac:dyDescent="0.35">
      <c r="B29" s="299"/>
      <c r="C29" s="296"/>
      <c r="D29" s="246"/>
      <c r="E29" s="240"/>
      <c r="F29" s="103" t="str">
        <f t="shared" si="2"/>
        <v>e)</v>
      </c>
      <c r="G29" s="243"/>
      <c r="H29" s="139" t="s">
        <v>90</v>
      </c>
      <c r="I29" s="293"/>
      <c r="J29" s="78" t="str">
        <f t="shared" si="0"/>
        <v/>
      </c>
      <c r="K29" s="16">
        <v>5</v>
      </c>
      <c r="L29" s="16">
        <f t="shared" ref="L29:L34" si="3">IF(J29=1,E29,L28)</f>
        <v>5</v>
      </c>
      <c r="M29" s="289" t="str">
        <f>IF(J29=1,IF(ISNA(MATCH(1,J30:J$35,0)),Endzeile-ROW(),MATCH(1,J30:J$35,0)),"")</f>
        <v/>
      </c>
      <c r="N29" s="292"/>
      <c r="O29" s="286"/>
      <c r="P29" s="282"/>
      <c r="Q29" s="282"/>
      <c r="R29" s="282"/>
      <c r="S29" s="285"/>
      <c r="T29" s="17"/>
    </row>
    <row r="30" spans="2:20" ht="45" customHeight="1" thickBot="1" x14ac:dyDescent="0.35">
      <c r="B30" s="297" t="s">
        <v>101</v>
      </c>
      <c r="C30" s="294">
        <f>D30*INDEX(O30:S30,1,Typnummer_Arbeit)/100*Anz_Krit</f>
        <v>7.1999999999999993</v>
      </c>
      <c r="D30" s="244">
        <f>((E30-1)*I30+G30)*N30</f>
        <v>12</v>
      </c>
      <c r="E30" s="238">
        <f>MATCH(LEFT(Beurteilung!C35,2),F30:F34,0)</f>
        <v>4</v>
      </c>
      <c r="F30" s="104" t="str">
        <f t="shared" si="2"/>
        <v>a)</v>
      </c>
      <c r="G30" s="241">
        <f>IF(Beurteilung!J35=Stufe_1,1,IF(Beurteilung!J35=Stufe_2,2,3))</f>
        <v>3</v>
      </c>
      <c r="H30" s="137" t="s">
        <v>91</v>
      </c>
      <c r="I30" s="293">
        <v>3</v>
      </c>
      <c r="J30" s="76">
        <f t="shared" si="0"/>
        <v>1</v>
      </c>
      <c r="K30" s="15">
        <f t="shared" si="1"/>
        <v>1</v>
      </c>
      <c r="L30" s="15">
        <f t="shared" si="3"/>
        <v>4</v>
      </c>
      <c r="M30" s="287">
        <f>IF(J30=1,IF(ISNA(MATCH(1,J31:J$35,0)),Endzeile-ROW(),MATCH(1,J31:J$35,0)),"")</f>
        <v>5</v>
      </c>
      <c r="N30" s="290">
        <f>P_Krit/(I30*M30)</f>
        <v>1</v>
      </c>
      <c r="O30" s="286">
        <v>10</v>
      </c>
      <c r="P30" s="280">
        <v>10</v>
      </c>
      <c r="Q30" s="280">
        <v>10</v>
      </c>
      <c r="R30" s="280">
        <v>10</v>
      </c>
      <c r="S30" s="283">
        <v>10</v>
      </c>
      <c r="T30" s="17"/>
    </row>
    <row r="31" spans="2:20" ht="45" customHeight="1" thickBot="1" x14ac:dyDescent="0.35">
      <c r="B31" s="298"/>
      <c r="C31" s="295"/>
      <c r="D31" s="245"/>
      <c r="E31" s="239"/>
      <c r="F31" s="105" t="str">
        <f t="shared" si="2"/>
        <v>b)</v>
      </c>
      <c r="G31" s="242"/>
      <c r="H31" s="138" t="s">
        <v>92</v>
      </c>
      <c r="I31" s="293"/>
      <c r="J31" s="77" t="str">
        <f t="shared" si="0"/>
        <v/>
      </c>
      <c r="K31" s="15">
        <f t="shared" si="1"/>
        <v>2</v>
      </c>
      <c r="L31" s="15">
        <f t="shared" si="3"/>
        <v>4</v>
      </c>
      <c r="M31" s="288" t="str">
        <f>IF(J31=1,IF(ISNA(MATCH(1,J33:J$35,0)),Endzeile-ROW(),MATCH(1,J33:J$35,0)),"")</f>
        <v/>
      </c>
      <c r="N31" s="291"/>
      <c r="O31" s="286"/>
      <c r="P31" s="281"/>
      <c r="Q31" s="281"/>
      <c r="R31" s="281"/>
      <c r="S31" s="284"/>
      <c r="T31" s="17"/>
    </row>
    <row r="32" spans="2:20" ht="45" customHeight="1" thickBot="1" x14ac:dyDescent="0.35">
      <c r="B32" s="298"/>
      <c r="C32" s="295"/>
      <c r="D32" s="245"/>
      <c r="E32" s="239"/>
      <c r="F32" s="105" t="str">
        <f t="shared" si="2"/>
        <v>c)</v>
      </c>
      <c r="G32" s="242"/>
      <c r="H32" s="138" t="s">
        <v>93</v>
      </c>
      <c r="I32" s="293"/>
      <c r="J32" s="77" t="str">
        <f t="shared" si="0"/>
        <v/>
      </c>
      <c r="K32" s="15">
        <v>3</v>
      </c>
      <c r="L32" s="15">
        <f t="shared" si="3"/>
        <v>4</v>
      </c>
      <c r="M32" s="288"/>
      <c r="N32" s="291"/>
      <c r="O32" s="286"/>
      <c r="P32" s="281"/>
      <c r="Q32" s="281"/>
      <c r="R32" s="281"/>
      <c r="S32" s="284"/>
      <c r="T32" s="17"/>
    </row>
    <row r="33" spans="2:21" ht="45" customHeight="1" thickBot="1" x14ac:dyDescent="0.35">
      <c r="B33" s="298"/>
      <c r="C33" s="295"/>
      <c r="D33" s="245"/>
      <c r="E33" s="239"/>
      <c r="F33" s="105" t="str">
        <f t="shared" si="2"/>
        <v>d)</v>
      </c>
      <c r="G33" s="242"/>
      <c r="H33" s="138" t="s">
        <v>94</v>
      </c>
      <c r="I33" s="293"/>
      <c r="J33" s="77" t="str">
        <f t="shared" si="0"/>
        <v/>
      </c>
      <c r="K33" s="15">
        <v>4</v>
      </c>
      <c r="L33" s="15">
        <f t="shared" si="3"/>
        <v>4</v>
      </c>
      <c r="M33" s="288" t="str">
        <f>IF(J33=1,IF(ISNA(MATCH(1,J34:J$35,0)),Endzeile-ROW(),MATCH(1,J34:J$35,0)),"")</f>
        <v/>
      </c>
      <c r="N33" s="291"/>
      <c r="O33" s="286"/>
      <c r="P33" s="281"/>
      <c r="Q33" s="281"/>
      <c r="R33" s="281"/>
      <c r="S33" s="284"/>
      <c r="T33" s="17"/>
    </row>
    <row r="34" spans="2:21" ht="45" customHeight="1" thickBot="1" x14ac:dyDescent="0.35">
      <c r="B34" s="299"/>
      <c r="C34" s="296"/>
      <c r="D34" s="246"/>
      <c r="E34" s="240"/>
      <c r="F34" s="106" t="str">
        <f t="shared" si="2"/>
        <v>e)</v>
      </c>
      <c r="G34" s="243"/>
      <c r="H34" s="139" t="s">
        <v>95</v>
      </c>
      <c r="I34" s="293"/>
      <c r="J34" s="78" t="str">
        <f t="shared" si="0"/>
        <v/>
      </c>
      <c r="K34" s="16">
        <v>5</v>
      </c>
      <c r="L34" s="15">
        <f t="shared" si="3"/>
        <v>4</v>
      </c>
      <c r="M34" s="289" t="str">
        <f>IF(J34=1,IF(ISNA(MATCH(1,J35:J$35,0)),Endzeile-ROW(),MATCH(1,J35:J$35,0)),"")</f>
        <v/>
      </c>
      <c r="N34" s="292"/>
      <c r="O34" s="286"/>
      <c r="P34" s="282"/>
      <c r="Q34" s="282"/>
      <c r="R34" s="282"/>
      <c r="S34" s="285"/>
      <c r="T34" s="17"/>
    </row>
    <row r="35" spans="2:21" ht="21" customHeight="1" thickBot="1" x14ac:dyDescent="0.35">
      <c r="B35" s="99" t="s">
        <v>107</v>
      </c>
      <c r="C35" s="98">
        <f>SUM(C5:C34)</f>
        <v>74.099999999999994</v>
      </c>
      <c r="D35" s="95"/>
      <c r="E35" s="95"/>
      <c r="F35" s="102"/>
      <c r="G35" s="95"/>
      <c r="H35" s="96" t="s">
        <v>24</v>
      </c>
      <c r="I35" s="95"/>
      <c r="J35" s="95"/>
      <c r="K35" s="95"/>
      <c r="L35" s="95"/>
      <c r="M35" s="95"/>
      <c r="N35" s="95"/>
      <c r="O35" s="6" t="s">
        <v>33</v>
      </c>
      <c r="P35" s="6" t="s">
        <v>33</v>
      </c>
      <c r="Q35" s="6" t="s">
        <v>33</v>
      </c>
      <c r="R35" s="6" t="s">
        <v>33</v>
      </c>
      <c r="S35" s="7" t="s">
        <v>33</v>
      </c>
    </row>
    <row r="38" spans="2:21" x14ac:dyDescent="0.3">
      <c r="U38" s="13"/>
    </row>
    <row r="40" spans="2:21" ht="46.95" customHeight="1" x14ac:dyDescent="0.3"/>
  </sheetData>
  <sheetProtection password="97B0" sheet="1" objects="1" scenarios="1" selectLockedCells="1"/>
  <mergeCells count="93">
    <mergeCell ref="B5:B9"/>
    <mergeCell ref="B10:B14"/>
    <mergeCell ref="N5:N9"/>
    <mergeCell ref="S5:S9"/>
    <mergeCell ref="R5:R9"/>
    <mergeCell ref="S10:S14"/>
    <mergeCell ref="O10:O14"/>
    <mergeCell ref="I5:I9"/>
    <mergeCell ref="O5:O9"/>
    <mergeCell ref="N10:N14"/>
    <mergeCell ref="M5:M9"/>
    <mergeCell ref="M10:M14"/>
    <mergeCell ref="C5:C9"/>
    <mergeCell ref="C10:C14"/>
    <mergeCell ref="I10:I14"/>
    <mergeCell ref="E5:E9"/>
    <mergeCell ref="S15:S19"/>
    <mergeCell ref="P10:P14"/>
    <mergeCell ref="Q5:Q9"/>
    <mergeCell ref="P15:P19"/>
    <mergeCell ref="P5:P9"/>
    <mergeCell ref="R10:R14"/>
    <mergeCell ref="R15:R19"/>
    <mergeCell ref="Q10:Q14"/>
    <mergeCell ref="Q15:Q19"/>
    <mergeCell ref="I15:I19"/>
    <mergeCell ref="O15:O19"/>
    <mergeCell ref="C15:C19"/>
    <mergeCell ref="B30:B34"/>
    <mergeCell ref="B20:B24"/>
    <mergeCell ref="B25:B29"/>
    <mergeCell ref="N15:N19"/>
    <mergeCell ref="I20:I24"/>
    <mergeCell ref="M20:M24"/>
    <mergeCell ref="N20:N24"/>
    <mergeCell ref="M15:M19"/>
    <mergeCell ref="B15:B19"/>
    <mergeCell ref="N25:N29"/>
    <mergeCell ref="C20:C24"/>
    <mergeCell ref="C25:C29"/>
    <mergeCell ref="C30:C34"/>
    <mergeCell ref="M25:M29"/>
    <mergeCell ref="N30:N34"/>
    <mergeCell ref="I25:I29"/>
    <mergeCell ref="I30:I34"/>
    <mergeCell ref="M30:M34"/>
    <mergeCell ref="R20:R24"/>
    <mergeCell ref="S30:S34"/>
    <mergeCell ref="O25:O29"/>
    <mergeCell ref="S25:S29"/>
    <mergeCell ref="R25:R29"/>
    <mergeCell ref="O30:O34"/>
    <mergeCell ref="S20:S24"/>
    <mergeCell ref="P30:P34"/>
    <mergeCell ref="Q30:Q34"/>
    <mergeCell ref="R30:R34"/>
    <mergeCell ref="Q25:Q29"/>
    <mergeCell ref="P25:P29"/>
    <mergeCell ref="P20:P24"/>
    <mergeCell ref="O20:O24"/>
    <mergeCell ref="Q20:Q24"/>
    <mergeCell ref="O2:S2"/>
    <mergeCell ref="B2:B4"/>
    <mergeCell ref="C2:C4"/>
    <mergeCell ref="H2:H4"/>
    <mergeCell ref="I2:I4"/>
    <mergeCell ref="O4:S4"/>
    <mergeCell ref="J2:J4"/>
    <mergeCell ref="K2:K4"/>
    <mergeCell ref="L2:L4"/>
    <mergeCell ref="M2:M4"/>
    <mergeCell ref="N2:N4"/>
    <mergeCell ref="E2:E4"/>
    <mergeCell ref="G2:G4"/>
    <mergeCell ref="F2:F4"/>
    <mergeCell ref="D20:D24"/>
    <mergeCell ref="D25:D29"/>
    <mergeCell ref="D30:D34"/>
    <mergeCell ref="D2:D4"/>
    <mergeCell ref="D5:D9"/>
    <mergeCell ref="D10:D14"/>
    <mergeCell ref="D15:D19"/>
    <mergeCell ref="E30:E34"/>
    <mergeCell ref="G30:G34"/>
    <mergeCell ref="G5:G9"/>
    <mergeCell ref="E10:E14"/>
    <mergeCell ref="G10:G14"/>
    <mergeCell ref="E15:E19"/>
    <mergeCell ref="G15:G19"/>
    <mergeCell ref="E20:E24"/>
    <mergeCell ref="G20:G24"/>
    <mergeCell ref="E25:E29"/>
    <mergeCell ref="G25:G29"/>
  </mergeCells>
  <conditionalFormatting sqref="O35:S35">
    <cfRule type="expression" dxfId="14" priority="12">
      <formula>SUM(O$5:O$34)&lt;&gt;100</formula>
    </cfRule>
  </conditionalFormatting>
  <conditionalFormatting sqref="H5:H24 H30:H34">
    <cfRule type="expression" dxfId="13" priority="13">
      <formula>$K5=$L5</formula>
    </cfRule>
  </conditionalFormatting>
  <conditionalFormatting sqref="H25:H29">
    <cfRule type="expression" dxfId="12" priority="33">
      <formula>$K25=$L25</formula>
    </cfRule>
  </conditionalFormatting>
  <pageMargins left="0.7" right="0.7" top="0.78740157499999996" bottom="0.78740157499999996" header="0.3" footer="0.3"/>
  <pageSetup paperSize="8" scale="63"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7" id="{D7323550-9984-438D-B9A1-92FD62134656}">
            <xm:f>COLUMN()-COLUMN($O$4)+1='Daten und Berechnung'!$K$8</xm:f>
            <x14:dxf>
              <font>
                <b/>
                <i val="0"/>
              </font>
              <fill>
                <patternFill>
                  <bgColor rgb="FFFFFFCC"/>
                </patternFill>
              </fill>
            </x14:dxf>
          </x14:cfRule>
          <xm:sqref>O5:S34 O3:S3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B1:Q19"/>
  <sheetViews>
    <sheetView workbookViewId="0">
      <selection activeCell="K13" sqref="K13:L13"/>
    </sheetView>
  </sheetViews>
  <sheetFormatPr baseColWidth="10" defaultColWidth="11.5546875" defaultRowHeight="19.8" customHeight="1" x14ac:dyDescent="0.3"/>
  <cols>
    <col min="1" max="1" width="3.33203125" style="63" customWidth="1"/>
    <col min="2" max="2" width="40.109375" style="63" customWidth="1"/>
    <col min="3" max="3" width="9.44140625" style="63" customWidth="1"/>
    <col min="4" max="4" width="3.21875" style="63" customWidth="1"/>
    <col min="5" max="5" width="12.109375" style="63" customWidth="1"/>
    <col min="6" max="6" width="17.21875" style="63" customWidth="1"/>
    <col min="7" max="7" width="2.33203125" style="63" customWidth="1"/>
    <col min="8" max="8" width="20.77734375" style="63" customWidth="1"/>
    <col min="9" max="9" width="2" style="63" customWidth="1"/>
    <col min="10" max="10" width="20.6640625" style="63" bestFit="1" customWidth="1"/>
    <col min="11" max="11" width="5" style="63" customWidth="1"/>
    <col min="12" max="12" width="27.6640625" style="63" customWidth="1"/>
    <col min="13" max="13" width="4" style="63" customWidth="1"/>
    <col min="14" max="14" width="20.77734375" style="63" customWidth="1"/>
    <col min="15" max="15" width="5.33203125" style="63" bestFit="1" customWidth="1"/>
    <col min="16" max="16" width="3.88671875" style="63" customWidth="1"/>
    <col min="17" max="17" width="79.109375" style="63" bestFit="1" customWidth="1"/>
    <col min="18" max="16384" width="11.5546875" style="63"/>
  </cols>
  <sheetData>
    <row r="1" spans="2:17" ht="14.4" customHeight="1" thickBot="1" x14ac:dyDescent="0.35"/>
    <row r="2" spans="2:17" ht="36" customHeight="1" thickBot="1" x14ac:dyDescent="0.35">
      <c r="B2" s="305" t="s">
        <v>9</v>
      </c>
      <c r="C2" s="306"/>
      <c r="E2" s="305" t="s">
        <v>49</v>
      </c>
      <c r="F2" s="306"/>
      <c r="H2" s="64" t="s">
        <v>50</v>
      </c>
      <c r="J2" s="305" t="s">
        <v>47</v>
      </c>
      <c r="K2" s="307"/>
      <c r="L2" s="306"/>
      <c r="N2" s="303" t="s">
        <v>118</v>
      </c>
      <c r="O2" s="304"/>
      <c r="Q2" s="135" t="s">
        <v>64</v>
      </c>
    </row>
    <row r="3" spans="2:17" ht="19.8" customHeight="1" thickBot="1" x14ac:dyDescent="0.35">
      <c r="B3" s="65" t="s">
        <v>23</v>
      </c>
      <c r="C3" s="122">
        <f>P_max</f>
        <v>90</v>
      </c>
      <c r="E3" s="189">
        <v>0</v>
      </c>
      <c r="F3" s="89">
        <v>5</v>
      </c>
      <c r="H3" s="84" t="s">
        <v>56</v>
      </c>
      <c r="J3" s="66" t="s">
        <v>15</v>
      </c>
      <c r="K3" s="308" t="str">
        <f ca="1">MID(CELL("Dateiname"),FIND("[",CELL("Dateiname"))+1,FIND("]",CELL("Dateiname"))-FIND("[",CELL("Dateiname"))-1)</f>
        <v>Beurteilungsbogen SG-MB (v1.3).xlsx</v>
      </c>
      <c r="L3" s="309"/>
      <c r="N3" s="165" t="s">
        <v>119</v>
      </c>
      <c r="O3" s="166" t="s">
        <v>130</v>
      </c>
      <c r="Q3" s="136" t="s">
        <v>55</v>
      </c>
    </row>
    <row r="4" spans="2:17" ht="19.8" customHeight="1" thickBot="1" x14ac:dyDescent="0.35">
      <c r="B4" s="67" t="s">
        <v>46</v>
      </c>
      <c r="C4" s="179">
        <f>P_Summe</f>
        <v>74.099999999999994</v>
      </c>
      <c r="E4" s="189">
        <v>0.47499999999999998</v>
      </c>
      <c r="F4" s="89">
        <v>4</v>
      </c>
      <c r="H4" s="85" t="s">
        <v>54</v>
      </c>
      <c r="J4" s="68" t="s">
        <v>13</v>
      </c>
      <c r="K4" s="310">
        <f>Dateidatum</f>
        <v>44088</v>
      </c>
      <c r="L4" s="311"/>
      <c r="N4" s="142" t="s">
        <v>29</v>
      </c>
      <c r="O4" s="167">
        <v>1</v>
      </c>
      <c r="Q4" s="134" t="s">
        <v>65</v>
      </c>
    </row>
    <row r="5" spans="2:17" ht="19.8" customHeight="1" thickBot="1" x14ac:dyDescent="0.35">
      <c r="B5" s="67" t="s">
        <v>4</v>
      </c>
      <c r="C5" s="123">
        <f>C4/P_max</f>
        <v>0.82333333333333325</v>
      </c>
      <c r="E5" s="189">
        <v>0.52500000000000002</v>
      </c>
      <c r="F5" s="89">
        <v>3.7</v>
      </c>
      <c r="H5" s="86" t="s">
        <v>53</v>
      </c>
      <c r="J5" s="68" t="s">
        <v>129</v>
      </c>
      <c r="K5" s="185" t="str">
        <f ca="1">MID(CELL("Dateiname",$A$1),FIND("]",CELL("Dateiname",$A$1))+1,31)</f>
        <v>Daten und Berechnung</v>
      </c>
      <c r="L5" s="186"/>
      <c r="N5" s="143" t="s">
        <v>125</v>
      </c>
      <c r="O5" s="168">
        <v>1</v>
      </c>
    </row>
    <row r="6" spans="2:17" ht="19.8" customHeight="1" x14ac:dyDescent="0.3">
      <c r="B6" s="67" t="s">
        <v>43</v>
      </c>
      <c r="C6" s="124">
        <f>ROUNDUP(C4*2,0)/2</f>
        <v>74.5</v>
      </c>
      <c r="E6" s="189">
        <f>0.58+1/300</f>
        <v>0.58333333333333326</v>
      </c>
      <c r="F6" s="89">
        <v>3.3</v>
      </c>
      <c r="J6" s="68" t="s">
        <v>44</v>
      </c>
      <c r="K6" s="117">
        <f>COUNTIF('Texte und Punkte'!J:J,1)</f>
        <v>6</v>
      </c>
      <c r="L6" s="132"/>
      <c r="N6" s="143" t="s">
        <v>126</v>
      </c>
      <c r="O6" s="168">
        <v>1</v>
      </c>
    </row>
    <row r="7" spans="2:17" ht="19.8" customHeight="1" x14ac:dyDescent="0.3">
      <c r="B7" s="67" t="s">
        <v>102</v>
      </c>
      <c r="C7" s="123">
        <f>ROUNDUP(C5*200,0)/200</f>
        <v>0.82499999999999996</v>
      </c>
      <c r="E7" s="189">
        <f>0.64+1/600</f>
        <v>0.64166666666666672</v>
      </c>
      <c r="F7" s="89">
        <v>3</v>
      </c>
      <c r="J7" s="68" t="s">
        <v>35</v>
      </c>
      <c r="K7" s="316">
        <f>P_Krit*Anz_Krit</f>
        <v>90</v>
      </c>
      <c r="L7" s="317"/>
      <c r="N7" s="143" t="s">
        <v>10</v>
      </c>
      <c r="O7" s="168">
        <v>1</v>
      </c>
    </row>
    <row r="8" spans="2:17" ht="19.8" customHeight="1" thickBot="1" x14ac:dyDescent="0.35">
      <c r="B8" s="113" t="s">
        <v>136</v>
      </c>
      <c r="C8" s="179">
        <f>IF(ROUNDDOWN(7-6*C4/C3,1)&lt;=4,IF(ROUNDDOWN(7-6*C4/C3,1)&gt;=1,ROUNDDOWN(7-6*C4/C3,1),1),5)</f>
        <v>2</v>
      </c>
      <c r="E8" s="189">
        <f>0.69+1/600</f>
        <v>0.69166666666666665</v>
      </c>
      <c r="F8" s="89">
        <v>2.7</v>
      </c>
      <c r="J8" s="68" t="s">
        <v>17</v>
      </c>
      <c r="K8" s="117">
        <f>MATCH(Typ_der_Arbeit,Liste_Arbeitstypen,0)</f>
        <v>3</v>
      </c>
      <c r="L8" s="70" t="str">
        <f>"( = " &amp; INDEX('Texte und Punkte'!O3:S3,,Typnummer_Arbeit) &amp; " )"</f>
        <v>( = Projektarbeit 4 )</v>
      </c>
      <c r="N8" s="144" t="s">
        <v>141</v>
      </c>
      <c r="O8" s="169">
        <v>0</v>
      </c>
    </row>
    <row r="9" spans="2:17" ht="19.8" customHeight="1" thickBot="1" x14ac:dyDescent="0.35">
      <c r="B9" s="113" t="s">
        <v>137</v>
      </c>
      <c r="C9" s="179">
        <f>VLOOKUP(P_proz,Liste_Notengrenzen,2)</f>
        <v>2</v>
      </c>
      <c r="E9" s="189">
        <v>0.75</v>
      </c>
      <c r="F9" s="89">
        <v>2.2999999999999998</v>
      </c>
      <c r="J9" s="68" t="s">
        <v>38</v>
      </c>
      <c r="K9" s="117">
        <f>ROW(Kriterien_Ende)</f>
        <v>35</v>
      </c>
      <c r="L9" s="132"/>
      <c r="N9" s="120"/>
      <c r="O9" s="120"/>
    </row>
    <row r="10" spans="2:17" ht="19.8" customHeight="1" thickBot="1" x14ac:dyDescent="0.35">
      <c r="B10" s="67" t="s">
        <v>138</v>
      </c>
      <c r="C10" s="187">
        <f>IF(Bewertungstyp=1,IF(Notenformel_037&lt;1,1,IF(Notenformel_037&gt;5,5,Notenformel_037)),IF(Notenformel_Dezimal&lt;1,1,IF(Notenformel_Dezimal&gt;5,5,Notenformel_Dezimal)))</f>
        <v>2</v>
      </c>
      <c r="E10" s="189">
        <f>0.808+1/3000</f>
        <v>0.80833333333333335</v>
      </c>
      <c r="F10" s="89">
        <v>2</v>
      </c>
      <c r="J10" s="100" t="s">
        <v>62</v>
      </c>
      <c r="K10" s="117">
        <f>MATCH(Notenformel_037,Notenliste,0)</f>
        <v>8</v>
      </c>
      <c r="L10" s="132"/>
      <c r="N10" s="305" t="s">
        <v>117</v>
      </c>
      <c r="O10" s="306"/>
    </row>
    <row r="11" spans="2:17" ht="19.8" customHeight="1" thickBot="1" x14ac:dyDescent="0.35">
      <c r="B11" s="67" t="s">
        <v>117</v>
      </c>
      <c r="C11" s="125">
        <f>INDEX(N12:O14,MATCH(Notenkorrektur,Korrektursymbole,0),2)</f>
        <v>0</v>
      </c>
      <c r="E11" s="189">
        <f>0.858+1/3000</f>
        <v>0.85833333333333328</v>
      </c>
      <c r="F11" s="89">
        <v>1.7</v>
      </c>
      <c r="J11" s="100" t="s">
        <v>133</v>
      </c>
      <c r="K11" s="177">
        <f>ROWS(Notenliste)</f>
        <v>12</v>
      </c>
      <c r="L11" s="178"/>
      <c r="N11" s="121" t="s">
        <v>120</v>
      </c>
      <c r="O11" s="174">
        <v>0.3</v>
      </c>
    </row>
    <row r="12" spans="2:17" ht="19.8" customHeight="1" thickBot="1" x14ac:dyDescent="0.35">
      <c r="B12" s="113" t="s">
        <v>131</v>
      </c>
      <c r="C12" s="179">
        <f>IF(Korr=Korr0,Notenformel_Dezimal,IF(Korr=Korr_p1,IF(Notenvorschlag+Korr_Dezimal&lt;=4,Notenvorschlag+Korr_Dezimal,5),IF(Notenvorschlag-Korr_Dezimal&gt;4,4,IF(Notenvorschlag-Korr_Dezimal&lt;1,1,Notenvorschlag-Korr_Dezimal))))</f>
        <v>2</v>
      </c>
      <c r="E12" s="189">
        <f>0.91+2/300</f>
        <v>0.91666666666666674</v>
      </c>
      <c r="F12" s="89">
        <v>1.3</v>
      </c>
      <c r="J12" s="121" t="s">
        <v>122</v>
      </c>
      <c r="K12" s="133">
        <f>IF(INDEX(Liste_035,Typnummer_Arbeit)=1,1,0)</f>
        <v>1</v>
      </c>
      <c r="L12" s="119"/>
      <c r="N12" s="129" t="s">
        <v>19</v>
      </c>
      <c r="O12" s="170">
        <v>0</v>
      </c>
    </row>
    <row r="13" spans="2:17" ht="19.8" customHeight="1" x14ac:dyDescent="0.3">
      <c r="B13" s="113" t="s">
        <v>132</v>
      </c>
      <c r="C13" s="179">
        <f>IF(Korr=Korr0,Notenformel_037,IF(Korr=Korr_m1,IF(Notenzeile+1&lt;=Max_Notenzeilen,INDEX(Notenliste,Notenzeile+1),1),IF(Notenzeile-1&gt;=1,INDEX(Notenliste,Notenzeile-1),5)))</f>
        <v>2</v>
      </c>
      <c r="E13" s="190">
        <v>0.97499999999999998</v>
      </c>
      <c r="F13" s="176">
        <v>1</v>
      </c>
      <c r="J13" s="101" t="s">
        <v>110</v>
      </c>
      <c r="K13" s="314">
        <v>15</v>
      </c>
      <c r="L13" s="315"/>
      <c r="N13" s="130" t="s">
        <v>22</v>
      </c>
      <c r="O13" s="171">
        <v>-1</v>
      </c>
    </row>
    <row r="14" spans="2:17" ht="19.8" customHeight="1" thickBot="1" x14ac:dyDescent="0.35">
      <c r="B14" s="69" t="s">
        <v>20</v>
      </c>
      <c r="C14" s="188">
        <f>IF(Bewertungstyp=1,C13,C12)</f>
        <v>2</v>
      </c>
      <c r="E14" s="191">
        <v>1</v>
      </c>
      <c r="F14" s="90">
        <v>1</v>
      </c>
      <c r="J14" s="173" t="s">
        <v>12</v>
      </c>
      <c r="K14" s="312" t="s">
        <v>139</v>
      </c>
      <c r="L14" s="313"/>
      <c r="N14" s="131" t="s">
        <v>21</v>
      </c>
      <c r="O14" s="172">
        <v>1</v>
      </c>
    </row>
    <row r="18" spans="2:10" ht="19.8" customHeight="1" x14ac:dyDescent="0.3">
      <c r="J18" s="10"/>
    </row>
    <row r="19" spans="2:10" ht="19.8" customHeight="1" x14ac:dyDescent="0.3">
      <c r="B19" s="175"/>
    </row>
  </sheetData>
  <sheetProtection password="97B0" sheet="1" objects="1" scenarios="1" selectLockedCells="1"/>
  <customSheetViews>
    <customSheetView guid="{F624DE42-7366-4D05-A22F-FFE42B7DDA87}">
      <selection activeCell="C20" sqref="C20"/>
      <pageMargins left="0.7" right="0.7" top="0.78740157499999996" bottom="0.78740157499999996" header="0.3" footer="0.3"/>
    </customSheetView>
  </customSheetViews>
  <mergeCells count="10">
    <mergeCell ref="K4:L4"/>
    <mergeCell ref="K14:L14"/>
    <mergeCell ref="K13:L13"/>
    <mergeCell ref="N10:O10"/>
    <mergeCell ref="K7:L7"/>
    <mergeCell ref="N2:O2"/>
    <mergeCell ref="E2:F2"/>
    <mergeCell ref="B2:C2"/>
    <mergeCell ref="J2:L2"/>
    <mergeCell ref="K3:L3"/>
  </mergeCells>
  <conditionalFormatting sqref="N4:O8">
    <cfRule type="expression" dxfId="10" priority="3">
      <formula>ROW()-ROW(Tab_Bewertungstyp)-1=Typnummer_Arbeit</formula>
    </cfRule>
  </conditionalFormatting>
  <conditionalFormatting sqref="N12:O14">
    <cfRule type="expression" dxfId="9" priority="2">
      <formula>$O12=Korr</formula>
    </cfRule>
  </conditionalFormatting>
  <conditionalFormatting sqref="E3:F14">
    <cfRule type="expression" dxfId="8" priority="1">
      <formula>$F3=Notenformel_037</formula>
    </cfRule>
  </conditionalFormatting>
  <pageMargins left="0.7" right="0.7" top="0.78740157499999996" bottom="0.78740157499999996" header="0.3" footer="0.3"/>
  <pageSetup paperSize="9" orientation="portrait" verticalDpi="0" r:id="rId1"/>
  <ignoredErrors>
    <ignoredError sqref="E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G25"/>
  <sheetViews>
    <sheetView workbookViewId="0">
      <selection activeCell="B6" sqref="B6"/>
    </sheetView>
  </sheetViews>
  <sheetFormatPr baseColWidth="10" defaultColWidth="11.5546875" defaultRowHeight="14.4" x14ac:dyDescent="0.3"/>
  <cols>
    <col min="1" max="1" width="2.44140625" style="79" customWidth="1"/>
    <col min="2" max="2" width="12.6640625" style="79" bestFit="1" customWidth="1"/>
    <col min="3" max="3" width="2.44140625" style="79" customWidth="1"/>
    <col min="4" max="4" width="11.5546875" style="79"/>
    <col min="5" max="5" width="11" style="79" bestFit="1" customWidth="1"/>
    <col min="6" max="6" width="15.33203125" style="83" bestFit="1" customWidth="1"/>
    <col min="7" max="7" width="140.33203125" style="79" customWidth="1"/>
    <col min="8" max="16384" width="11.5546875" style="79"/>
  </cols>
  <sheetData>
    <row r="2" spans="2:7" x14ac:dyDescent="0.3">
      <c r="D2" s="318" t="s">
        <v>59</v>
      </c>
      <c r="E2" s="318"/>
      <c r="F2" s="318"/>
      <c r="G2" s="318"/>
    </row>
    <row r="3" spans="2:7" ht="15" thickBot="1" x14ac:dyDescent="0.35"/>
    <row r="4" spans="2:7" s="82" customFormat="1" ht="29.4" thickBot="1" x14ac:dyDescent="0.35">
      <c r="B4" s="184" t="s">
        <v>135</v>
      </c>
      <c r="C4" s="118"/>
      <c r="D4" s="153" t="s">
        <v>26</v>
      </c>
      <c r="E4" s="158" t="s">
        <v>27</v>
      </c>
      <c r="F4" s="80" t="s">
        <v>31</v>
      </c>
      <c r="G4" s="81" t="s">
        <v>28</v>
      </c>
    </row>
    <row r="5" spans="2:7" s="118" customFormat="1" ht="15" thickBot="1" x14ac:dyDescent="0.35">
      <c r="B5" s="192">
        <v>44088</v>
      </c>
      <c r="D5" s="197">
        <v>43399</v>
      </c>
      <c r="E5" s="198" t="s">
        <v>30</v>
      </c>
      <c r="F5" s="199" t="s">
        <v>139</v>
      </c>
      <c r="G5" s="200" t="s">
        <v>140</v>
      </c>
    </row>
    <row r="6" spans="2:7" s="118" customFormat="1" x14ac:dyDescent="0.3">
      <c r="D6" s="180">
        <v>43321</v>
      </c>
      <c r="E6" s="181" t="s">
        <v>30</v>
      </c>
      <c r="F6" s="182" t="s">
        <v>121</v>
      </c>
      <c r="G6" s="183" t="s">
        <v>134</v>
      </c>
    </row>
    <row r="7" spans="2:7" s="118" customFormat="1" x14ac:dyDescent="0.3">
      <c r="D7" s="154">
        <v>43293</v>
      </c>
      <c r="E7" s="159" t="s">
        <v>30</v>
      </c>
      <c r="F7" s="151" t="s">
        <v>121</v>
      </c>
      <c r="G7" s="150" t="s">
        <v>127</v>
      </c>
    </row>
    <row r="8" spans="2:7" s="82" customFormat="1" x14ac:dyDescent="0.3">
      <c r="B8" s="118"/>
      <c r="C8" s="118"/>
      <c r="D8" s="155">
        <v>43273</v>
      </c>
      <c r="E8" s="160" t="s">
        <v>30</v>
      </c>
      <c r="F8" s="151" t="s">
        <v>121</v>
      </c>
      <c r="G8" s="164" t="str">
        <f ca="1">"- Bewertung erneut geändert (Es ist nun für jeden Arbeitstyp in '" &amp;'Daten und Berechnung'!K5 &amp;"' anpassbar, ob im Dezimal- oder im 0-3-7-System bewertet wird.)"</f>
        <v>- Bewertung erneut geändert (Es ist nun für jeden Arbeitstyp in 'Daten und Berechnung' anpassbar, ob im Dezimal- oder im 0-3-7-System bewertet wird.)</v>
      </c>
    </row>
    <row r="9" spans="2:7" s="82" customFormat="1" x14ac:dyDescent="0.3">
      <c r="B9" s="118"/>
      <c r="C9" s="118"/>
      <c r="D9" s="155">
        <v>43259</v>
      </c>
      <c r="E9" s="161" t="s">
        <v>30</v>
      </c>
      <c r="F9" s="151" t="s">
        <v>116</v>
      </c>
      <c r="G9" s="116" t="s">
        <v>124</v>
      </c>
    </row>
    <row r="10" spans="2:7" s="82" customFormat="1" x14ac:dyDescent="0.3">
      <c r="B10" s="118"/>
      <c r="C10" s="118"/>
      <c r="D10" s="155">
        <v>43165</v>
      </c>
      <c r="E10" s="160" t="s">
        <v>30</v>
      </c>
      <c r="F10" s="151" t="s">
        <v>14</v>
      </c>
      <c r="G10" s="97" t="s">
        <v>108</v>
      </c>
    </row>
    <row r="11" spans="2:7" s="82" customFormat="1" ht="43.2" x14ac:dyDescent="0.3">
      <c r="B11" s="118"/>
      <c r="C11" s="118"/>
      <c r="D11" s="156">
        <v>43157</v>
      </c>
      <c r="E11" s="162" t="s">
        <v>30</v>
      </c>
      <c r="F11" s="151" t="s">
        <v>14</v>
      </c>
      <c r="G11" s="91" t="s">
        <v>104</v>
      </c>
    </row>
    <row r="12" spans="2:7" s="82" customFormat="1" x14ac:dyDescent="0.3">
      <c r="B12" s="118"/>
      <c r="C12" s="118"/>
      <c r="D12" s="157">
        <v>42975</v>
      </c>
      <c r="E12" s="163" t="s">
        <v>30</v>
      </c>
      <c r="F12" s="152" t="s">
        <v>14</v>
      </c>
      <c r="G12" s="92" t="s">
        <v>103</v>
      </c>
    </row>
    <row r="13" spans="2:7" s="82" customFormat="1" x14ac:dyDescent="0.3">
      <c r="B13" s="118"/>
      <c r="C13" s="118"/>
      <c r="D13" s="157">
        <v>42971</v>
      </c>
      <c r="E13" s="163" t="s">
        <v>30</v>
      </c>
      <c r="F13" s="152" t="s">
        <v>14</v>
      </c>
      <c r="G13" s="93" t="s">
        <v>66</v>
      </c>
    </row>
    <row r="14" spans="2:7" s="82" customFormat="1" x14ac:dyDescent="0.3">
      <c r="B14" s="118"/>
      <c r="C14" s="118"/>
      <c r="D14" s="156">
        <v>42942</v>
      </c>
      <c r="E14" s="162" t="s">
        <v>30</v>
      </c>
      <c r="F14" s="151" t="s">
        <v>14</v>
      </c>
      <c r="G14" s="94" t="s">
        <v>61</v>
      </c>
    </row>
    <row r="15" spans="2:7" s="82" customFormat="1" x14ac:dyDescent="0.3">
      <c r="B15" s="118"/>
      <c r="C15" s="118"/>
      <c r="D15" s="156"/>
      <c r="E15" s="162"/>
      <c r="F15" s="151"/>
      <c r="G15" s="94" t="s">
        <v>63</v>
      </c>
    </row>
    <row r="16" spans="2:7" x14ac:dyDescent="0.3">
      <c r="D16" s="156"/>
      <c r="E16" s="162"/>
      <c r="F16" s="151"/>
      <c r="G16" s="94"/>
    </row>
    <row r="17" spans="4:7" x14ac:dyDescent="0.3">
      <c r="D17" s="157">
        <v>42930</v>
      </c>
      <c r="E17" s="163" t="s">
        <v>58</v>
      </c>
      <c r="F17" s="152" t="s">
        <v>14</v>
      </c>
      <c r="G17" s="92" t="s">
        <v>109</v>
      </c>
    </row>
    <row r="18" spans="4:7" x14ac:dyDescent="0.3">
      <c r="D18" s="157"/>
      <c r="E18" s="163"/>
      <c r="F18" s="152"/>
      <c r="G18" s="92" t="s">
        <v>51</v>
      </c>
    </row>
    <row r="19" spans="4:7" x14ac:dyDescent="0.3">
      <c r="D19" s="157"/>
      <c r="E19" s="163"/>
      <c r="F19" s="152"/>
      <c r="G19" s="92" t="s">
        <v>123</v>
      </c>
    </row>
    <row r="20" spans="4:7" x14ac:dyDescent="0.3">
      <c r="D20" s="157"/>
      <c r="E20" s="163"/>
      <c r="F20" s="152"/>
      <c r="G20" s="92" t="s">
        <v>106</v>
      </c>
    </row>
    <row r="21" spans="4:7" x14ac:dyDescent="0.3">
      <c r="D21" s="157"/>
      <c r="E21" s="163"/>
      <c r="F21" s="152"/>
      <c r="G21" s="92" t="s">
        <v>52</v>
      </c>
    </row>
    <row r="22" spans="4:7" x14ac:dyDescent="0.3">
      <c r="D22" s="157"/>
      <c r="E22" s="163"/>
      <c r="F22" s="152"/>
      <c r="G22" s="93"/>
    </row>
    <row r="23" spans="4:7" x14ac:dyDescent="0.3">
      <c r="D23" s="157">
        <v>42892</v>
      </c>
      <c r="E23" s="163" t="s">
        <v>30</v>
      </c>
      <c r="F23" s="152" t="s">
        <v>14</v>
      </c>
      <c r="G23" s="92" t="s">
        <v>41</v>
      </c>
    </row>
    <row r="24" spans="4:7" x14ac:dyDescent="0.3">
      <c r="D24" s="157"/>
      <c r="E24" s="163"/>
      <c r="F24" s="152"/>
      <c r="G24" s="92" t="s">
        <v>42</v>
      </c>
    </row>
    <row r="25" spans="4:7" x14ac:dyDescent="0.3">
      <c r="D25" s="157"/>
      <c r="E25" s="163"/>
      <c r="F25" s="152"/>
      <c r="G25" s="92" t="s">
        <v>128</v>
      </c>
    </row>
  </sheetData>
  <mergeCells count="1">
    <mergeCell ref="D2:G2"/>
  </mergeCells>
  <pageMargins left="0.7" right="0.7" top="0.78740157499999996" bottom="0.78740157499999996" header="0.3" footer="0.3"/>
  <pageSetup paperSize="9" orientation="portrait" verticalDpi="0" r:id="rId1"/>
  <ignoredErrors>
    <ignoredError sqref="G8"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60</vt:i4>
      </vt:variant>
    </vt:vector>
  </HeadingPairs>
  <TitlesOfParts>
    <vt:vector size="64" baseType="lpstr">
      <vt:lpstr>Beurteilung</vt:lpstr>
      <vt:lpstr>Texte und Punkte</vt:lpstr>
      <vt:lpstr>Daten und Berechnung</vt:lpstr>
      <vt:lpstr>Versionshistorie</vt:lpstr>
      <vt:lpstr>Abstufung</vt:lpstr>
      <vt:lpstr>Anz_Krit</vt:lpstr>
      <vt:lpstr>Berechnung</vt:lpstr>
      <vt:lpstr>Beurteilung</vt:lpstr>
      <vt:lpstr>'Texte und Punkte'!Bewertungskriterium</vt:lpstr>
      <vt:lpstr>Bewertungstyp</vt:lpstr>
      <vt:lpstr>Copy</vt:lpstr>
      <vt:lpstr>Dateidatum</vt:lpstr>
      <vt:lpstr>Dateiname</vt:lpstr>
      <vt:lpstr>Dateiversion</vt:lpstr>
      <vt:lpstr>'Texte und Punkte'!Daten</vt:lpstr>
      <vt:lpstr>Beurteilung!Druckbereich</vt:lpstr>
      <vt:lpstr>'Texte und Punkte'!Druckbereich</vt:lpstr>
      <vt:lpstr>Endnote_Gutachten</vt:lpstr>
      <vt:lpstr>Endzeile</vt:lpstr>
      <vt:lpstr>Gutachter</vt:lpstr>
      <vt:lpstr>Korr</vt:lpstr>
      <vt:lpstr>Korr_Dezimal</vt:lpstr>
      <vt:lpstr>Korr_m1</vt:lpstr>
      <vt:lpstr>Korr_p1</vt:lpstr>
      <vt:lpstr>Korr0</vt:lpstr>
      <vt:lpstr>Korrektursymbole</vt:lpstr>
      <vt:lpstr>Kriterien</vt:lpstr>
      <vt:lpstr>Kriterien_Ende</vt:lpstr>
      <vt:lpstr>Kriterium1</vt:lpstr>
      <vt:lpstr>Kriterium2</vt:lpstr>
      <vt:lpstr>Kriterium3</vt:lpstr>
      <vt:lpstr>Kriterium4</vt:lpstr>
      <vt:lpstr>Kriterium5</vt:lpstr>
      <vt:lpstr>Kriterium6</vt:lpstr>
      <vt:lpstr>Kurs</vt:lpstr>
      <vt:lpstr>Liste_035</vt:lpstr>
      <vt:lpstr>Liste_Arbeitstypen</vt:lpstr>
      <vt:lpstr>Liste_Notengrenzen</vt:lpstr>
      <vt:lpstr>Matrikel</vt:lpstr>
      <vt:lpstr>Max_Notenzeilen</vt:lpstr>
      <vt:lpstr>Name</vt:lpstr>
      <vt:lpstr>Notenformel</vt:lpstr>
      <vt:lpstr>Notenformel_037</vt:lpstr>
      <vt:lpstr>Notenformel_Dezimal</vt:lpstr>
      <vt:lpstr>Notenkorrektur</vt:lpstr>
      <vt:lpstr>Notenliste</vt:lpstr>
      <vt:lpstr>Notenvorschlag</vt:lpstr>
      <vt:lpstr>Notenzeile</vt:lpstr>
      <vt:lpstr>P_akt</vt:lpstr>
      <vt:lpstr>P_Krit</vt:lpstr>
      <vt:lpstr>P_max</vt:lpstr>
      <vt:lpstr>P_proz</vt:lpstr>
      <vt:lpstr>P_Summe</vt:lpstr>
      <vt:lpstr>Sp_Wichtung</vt:lpstr>
      <vt:lpstr>Stufe_1</vt:lpstr>
      <vt:lpstr>Stufe_2</vt:lpstr>
      <vt:lpstr>Stufe_3</vt:lpstr>
      <vt:lpstr>Tab_Bewertungstyp</vt:lpstr>
      <vt:lpstr>Tab_Notengrenzen</vt:lpstr>
      <vt:lpstr>Tab_Notenkorrektur</vt:lpstr>
      <vt:lpstr>Titel</vt:lpstr>
      <vt:lpstr>Typ_der_Arbeit</vt:lpstr>
      <vt:lpstr>Typnummer_Arbeit</vt:lpstr>
      <vt:lpstr>Vorname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Beurteilungsbogen für schriftliche Arbeiten - StA Riesa/MB</dc:title>
  <dc:creator>Jens Franeck</dc:creator>
  <cp:lastModifiedBy>Jens Franeck</cp:lastModifiedBy>
  <cp:lastPrinted>2019-09-17T08:37:14Z</cp:lastPrinted>
  <dcterms:created xsi:type="dcterms:W3CDTF">2017-02-28T09:29:19Z</dcterms:created>
  <dcterms:modified xsi:type="dcterms:W3CDTF">2020-09-14T10:14:23Z</dcterms:modified>
</cp:coreProperties>
</file>